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fabioruggeri/Downloads/"/>
    </mc:Choice>
  </mc:AlternateContent>
  <xr:revisionPtr revIDLastSave="0" documentId="13_ncr:1_{97234ECE-15FE-C242-A770-EAE8064626A3}" xr6:coauthVersionLast="47" xr6:coauthVersionMax="47" xr10:uidLastSave="{00000000-0000-0000-0000-000000000000}"/>
  <bookViews>
    <workbookView xWindow="0" yWindow="500" windowWidth="28800" windowHeight="17500" activeTab="1" xr2:uid="{00000000-000D-0000-FFFF-FFFF00000000}"/>
  </bookViews>
  <sheets>
    <sheet name="01312025 - 02072025" sheetId="2" r:id="rId1"/>
    <sheet name="Selected Stocks 01312025 - 0207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3" l="1"/>
  <c r="G34" i="3"/>
  <c r="K34" i="3" s="1"/>
  <c r="F34" i="3"/>
  <c r="M33" i="3"/>
  <c r="J33" i="3"/>
  <c r="G33" i="3"/>
  <c r="K33" i="3" s="1"/>
  <c r="F33" i="3"/>
  <c r="J32" i="3"/>
  <c r="G32" i="3"/>
  <c r="K32" i="3" s="1"/>
  <c r="F32" i="3"/>
  <c r="J31" i="3"/>
  <c r="G31" i="3"/>
  <c r="K31" i="3" s="1"/>
  <c r="F31" i="3"/>
  <c r="J30" i="3"/>
  <c r="G30" i="3"/>
  <c r="K30" i="3" s="1"/>
  <c r="F30" i="3"/>
  <c r="J26" i="3"/>
  <c r="G26" i="3"/>
  <c r="K26" i="3" s="1"/>
  <c r="F26" i="3"/>
  <c r="J25" i="3"/>
  <c r="G25" i="3"/>
  <c r="K25" i="3" s="1"/>
  <c r="F25" i="3"/>
  <c r="J24" i="3"/>
  <c r="G24" i="3"/>
  <c r="F24" i="3"/>
  <c r="J23" i="3"/>
  <c r="G23" i="3"/>
  <c r="K23" i="3" s="1"/>
  <c r="F23" i="3"/>
  <c r="J22" i="3"/>
  <c r="G22" i="3"/>
  <c r="K22" i="3" s="1"/>
  <c r="F22" i="3"/>
  <c r="J21" i="3"/>
  <c r="G21" i="3"/>
  <c r="F21" i="3"/>
  <c r="J20" i="3"/>
  <c r="G20" i="3"/>
  <c r="K20" i="3" s="1"/>
  <c r="F20" i="3"/>
  <c r="J19" i="3"/>
  <c r="G19" i="3"/>
  <c r="K19" i="3" s="1"/>
  <c r="F19" i="3"/>
  <c r="J18" i="3"/>
  <c r="G18" i="3"/>
  <c r="F18" i="3"/>
  <c r="J17" i="3"/>
  <c r="G17" i="3"/>
  <c r="K17" i="3" s="1"/>
  <c r="F17" i="3"/>
  <c r="J16" i="3"/>
  <c r="G16" i="3"/>
  <c r="F16" i="3"/>
  <c r="J15" i="3"/>
  <c r="G15" i="3"/>
  <c r="K15" i="3" s="1"/>
  <c r="F15" i="3"/>
  <c r="J14" i="3"/>
  <c r="G14" i="3"/>
  <c r="K14" i="3" s="1"/>
  <c r="F14" i="3"/>
  <c r="J13" i="3"/>
  <c r="G13" i="3"/>
  <c r="K13" i="3" s="1"/>
  <c r="F13" i="3"/>
  <c r="J12" i="3"/>
  <c r="G12" i="3"/>
  <c r="K12" i="3" s="1"/>
  <c r="F12" i="3"/>
  <c r="J11" i="3"/>
  <c r="G11" i="3"/>
  <c r="F11" i="3"/>
  <c r="J10" i="3"/>
  <c r="G10" i="3"/>
  <c r="F10" i="3"/>
  <c r="J9" i="3"/>
  <c r="G9" i="3"/>
  <c r="K9" i="3" s="1"/>
  <c r="F9" i="3"/>
  <c r="M8" i="3"/>
  <c r="J8" i="3"/>
  <c r="G8" i="3"/>
  <c r="K8" i="3" s="1"/>
  <c r="F8" i="3"/>
  <c r="J7" i="3"/>
  <c r="G7" i="3"/>
  <c r="K7" i="3" s="1"/>
  <c r="F7" i="3"/>
  <c r="J6" i="3"/>
  <c r="G6" i="3"/>
  <c r="K6" i="3" s="1"/>
  <c r="F6" i="3"/>
  <c r="J5" i="3"/>
  <c r="G5" i="3"/>
  <c r="F5" i="3"/>
  <c r="J867" i="2"/>
  <c r="G867" i="2"/>
  <c r="F867" i="2"/>
  <c r="J866" i="2"/>
  <c r="G866" i="2"/>
  <c r="K866" i="2" s="1"/>
  <c r="F866" i="2"/>
  <c r="J865" i="2"/>
  <c r="G865" i="2"/>
  <c r="K865" i="2" s="1"/>
  <c r="F865" i="2"/>
  <c r="J864" i="2"/>
  <c r="G864" i="2"/>
  <c r="K864" i="2" s="1"/>
  <c r="F864" i="2"/>
  <c r="J863" i="2"/>
  <c r="G863" i="2"/>
  <c r="K863" i="2" s="1"/>
  <c r="F863" i="2"/>
  <c r="J862" i="2"/>
  <c r="G862" i="2"/>
  <c r="K862" i="2" s="1"/>
  <c r="F862" i="2"/>
  <c r="J861" i="2"/>
  <c r="G861" i="2"/>
  <c r="K861" i="2" s="1"/>
  <c r="F861" i="2"/>
  <c r="J860" i="2"/>
  <c r="G860" i="2"/>
  <c r="F860" i="2"/>
  <c r="J859" i="2"/>
  <c r="G859" i="2"/>
  <c r="K859" i="2" s="1"/>
  <c r="F859" i="2"/>
  <c r="J858" i="2"/>
  <c r="G858" i="2"/>
  <c r="K858" i="2" s="1"/>
  <c r="F858" i="2"/>
  <c r="J857" i="2"/>
  <c r="G857" i="2"/>
  <c r="K857" i="2" s="1"/>
  <c r="F857" i="2"/>
  <c r="J856" i="2"/>
  <c r="G856" i="2"/>
  <c r="F856" i="2"/>
  <c r="J855" i="2"/>
  <c r="G855" i="2"/>
  <c r="K855" i="2" s="1"/>
  <c r="F855" i="2"/>
  <c r="J854" i="2"/>
  <c r="G854" i="2"/>
  <c r="K854" i="2" s="1"/>
  <c r="F854" i="2"/>
  <c r="J853" i="2"/>
  <c r="G853" i="2"/>
  <c r="K853" i="2" s="1"/>
  <c r="F853" i="2"/>
  <c r="J852" i="2"/>
  <c r="G852" i="2"/>
  <c r="F852" i="2"/>
  <c r="J851" i="2"/>
  <c r="G851" i="2"/>
  <c r="K851" i="2" s="1"/>
  <c r="F851" i="2"/>
  <c r="J850" i="2"/>
  <c r="G850" i="2"/>
  <c r="K850" i="2" s="1"/>
  <c r="F850" i="2"/>
  <c r="J849" i="2"/>
  <c r="G849" i="2"/>
  <c r="F849" i="2"/>
  <c r="J848" i="2"/>
  <c r="G848" i="2"/>
  <c r="K848" i="2" s="1"/>
  <c r="F848" i="2"/>
  <c r="J847" i="2"/>
  <c r="G847" i="2"/>
  <c r="K847" i="2" s="1"/>
  <c r="F847" i="2"/>
  <c r="J846" i="2"/>
  <c r="G846" i="2"/>
  <c r="K846" i="2" s="1"/>
  <c r="F846" i="2"/>
  <c r="J845" i="2"/>
  <c r="G845" i="2"/>
  <c r="K845" i="2" s="1"/>
  <c r="F845" i="2"/>
  <c r="J844" i="2"/>
  <c r="G844" i="2"/>
  <c r="K844" i="2" s="1"/>
  <c r="F844" i="2"/>
  <c r="J843" i="2"/>
  <c r="G843" i="2"/>
  <c r="F843" i="2"/>
  <c r="J842" i="2"/>
  <c r="G842" i="2"/>
  <c r="K842" i="2" s="1"/>
  <c r="F842" i="2"/>
  <c r="J841" i="2"/>
  <c r="G841" i="2"/>
  <c r="K841" i="2" s="1"/>
  <c r="F841" i="2"/>
  <c r="J840" i="2"/>
  <c r="G840" i="2"/>
  <c r="F840" i="2"/>
  <c r="J839" i="2"/>
  <c r="G839" i="2"/>
  <c r="F839" i="2"/>
  <c r="J838" i="2"/>
  <c r="G838" i="2"/>
  <c r="K838" i="2" s="1"/>
  <c r="F838" i="2"/>
  <c r="J837" i="2"/>
  <c r="G837" i="2"/>
  <c r="K837" i="2" s="1"/>
  <c r="F837" i="2"/>
  <c r="J836" i="2"/>
  <c r="G836" i="2"/>
  <c r="F836" i="2"/>
  <c r="J835" i="2"/>
  <c r="G835" i="2"/>
  <c r="K835" i="2" s="1"/>
  <c r="F835" i="2"/>
  <c r="J834" i="2"/>
  <c r="G834" i="2"/>
  <c r="K834" i="2" s="1"/>
  <c r="F834" i="2"/>
  <c r="J833" i="2"/>
  <c r="G833" i="2"/>
  <c r="K833" i="2" s="1"/>
  <c r="F833" i="2"/>
  <c r="J832" i="2"/>
  <c r="G832" i="2"/>
  <c r="F832" i="2"/>
  <c r="J831" i="2"/>
  <c r="G831" i="2"/>
  <c r="K831" i="2" s="1"/>
  <c r="F831" i="2"/>
  <c r="J830" i="2"/>
  <c r="G830" i="2"/>
  <c r="K830" i="2" s="1"/>
  <c r="F830" i="2"/>
  <c r="J829" i="2"/>
  <c r="G829" i="2"/>
  <c r="K829" i="2" s="1"/>
  <c r="F829" i="2"/>
  <c r="J828" i="2"/>
  <c r="G828" i="2"/>
  <c r="K828" i="2" s="1"/>
  <c r="F828" i="2"/>
  <c r="J827" i="2"/>
  <c r="G827" i="2"/>
  <c r="K827" i="2" s="1"/>
  <c r="F827" i="2"/>
  <c r="J826" i="2"/>
  <c r="G826" i="2"/>
  <c r="K826" i="2" s="1"/>
  <c r="F826" i="2"/>
  <c r="J825" i="2"/>
  <c r="G825" i="2"/>
  <c r="F825" i="2"/>
  <c r="J824" i="2"/>
  <c r="G824" i="2"/>
  <c r="F824" i="2"/>
  <c r="J823" i="2"/>
  <c r="G823" i="2"/>
  <c r="K823" i="2" s="1"/>
  <c r="F823" i="2"/>
  <c r="J822" i="2"/>
  <c r="G822" i="2"/>
  <c r="K822" i="2" s="1"/>
  <c r="F822" i="2"/>
  <c r="J821" i="2"/>
  <c r="G821" i="2"/>
  <c r="K821" i="2" s="1"/>
  <c r="F821" i="2"/>
  <c r="J820" i="2"/>
  <c r="G820" i="2"/>
  <c r="F820" i="2"/>
  <c r="J819" i="2"/>
  <c r="G819" i="2"/>
  <c r="K819" i="2" s="1"/>
  <c r="F819" i="2"/>
  <c r="J818" i="2"/>
  <c r="G818" i="2"/>
  <c r="K818" i="2" s="1"/>
  <c r="F818" i="2"/>
  <c r="J817" i="2"/>
  <c r="G817" i="2"/>
  <c r="K817" i="2" s="1"/>
  <c r="F817" i="2"/>
  <c r="J816" i="2"/>
  <c r="G816" i="2"/>
  <c r="F816" i="2"/>
  <c r="J815" i="2"/>
  <c r="G815" i="2"/>
  <c r="K815" i="2" s="1"/>
  <c r="F815" i="2"/>
  <c r="J814" i="2"/>
  <c r="G814" i="2"/>
  <c r="K814" i="2" s="1"/>
  <c r="F814" i="2"/>
  <c r="J813" i="2"/>
  <c r="G813" i="2"/>
  <c r="F813" i="2"/>
  <c r="J812" i="2"/>
  <c r="G812" i="2"/>
  <c r="F812" i="2"/>
  <c r="J811" i="2"/>
  <c r="G811" i="2"/>
  <c r="F811" i="2"/>
  <c r="J810" i="2"/>
  <c r="G810" i="2"/>
  <c r="F810" i="2"/>
  <c r="J809" i="2"/>
  <c r="G809" i="2"/>
  <c r="K809" i="2" s="1"/>
  <c r="F809" i="2"/>
  <c r="J808" i="2"/>
  <c r="G808" i="2"/>
  <c r="F808" i="2"/>
  <c r="J807" i="2"/>
  <c r="G807" i="2"/>
  <c r="K807" i="2" s="1"/>
  <c r="F807" i="2"/>
  <c r="J806" i="2"/>
  <c r="G806" i="2"/>
  <c r="F806" i="2"/>
  <c r="J805" i="2"/>
  <c r="G805" i="2"/>
  <c r="K805" i="2" s="1"/>
  <c r="F805" i="2"/>
  <c r="J804" i="2"/>
  <c r="G804" i="2"/>
  <c r="F804" i="2"/>
  <c r="J803" i="2"/>
  <c r="G803" i="2"/>
  <c r="K803" i="2" s="1"/>
  <c r="F803" i="2"/>
  <c r="J802" i="2"/>
  <c r="G802" i="2"/>
  <c r="F802" i="2"/>
  <c r="J801" i="2"/>
  <c r="G801" i="2"/>
  <c r="K801" i="2" s="1"/>
  <c r="F801" i="2"/>
  <c r="J800" i="2"/>
  <c r="G800" i="2"/>
  <c r="K800" i="2" s="1"/>
  <c r="F800" i="2"/>
  <c r="J799" i="2"/>
  <c r="G799" i="2"/>
  <c r="K799" i="2" s="1"/>
  <c r="F799" i="2"/>
  <c r="J798" i="2"/>
  <c r="G798" i="2"/>
  <c r="K798" i="2" s="1"/>
  <c r="F798" i="2"/>
  <c r="J797" i="2"/>
  <c r="G797" i="2"/>
  <c r="K797" i="2" s="1"/>
  <c r="F797" i="2"/>
  <c r="J796" i="2"/>
  <c r="G796" i="2"/>
  <c r="K796" i="2" s="1"/>
  <c r="F796" i="2"/>
  <c r="J795" i="2"/>
  <c r="G795" i="2"/>
  <c r="F795" i="2"/>
  <c r="J794" i="2"/>
  <c r="G794" i="2"/>
  <c r="F794" i="2"/>
  <c r="J793" i="2"/>
  <c r="G793" i="2"/>
  <c r="K793" i="2" s="1"/>
  <c r="F793" i="2"/>
  <c r="J792" i="2"/>
  <c r="G792" i="2"/>
  <c r="F792" i="2"/>
  <c r="J791" i="2"/>
  <c r="G791" i="2"/>
  <c r="K791" i="2" s="1"/>
  <c r="F791" i="2"/>
  <c r="J790" i="2"/>
  <c r="G790" i="2"/>
  <c r="K790" i="2" s="1"/>
  <c r="F790" i="2"/>
  <c r="J789" i="2"/>
  <c r="G789" i="2"/>
  <c r="F789" i="2"/>
  <c r="J788" i="2"/>
  <c r="G788" i="2"/>
  <c r="K788" i="2" s="1"/>
  <c r="F788" i="2"/>
  <c r="J787" i="2"/>
  <c r="G787" i="2"/>
  <c r="F787" i="2"/>
  <c r="J786" i="2"/>
  <c r="G786" i="2"/>
  <c r="F786" i="2"/>
  <c r="J785" i="2"/>
  <c r="G785" i="2"/>
  <c r="K785" i="2" s="1"/>
  <c r="F785" i="2"/>
  <c r="J784" i="2"/>
  <c r="G784" i="2"/>
  <c r="K784" i="2" s="1"/>
  <c r="F784" i="2"/>
  <c r="J783" i="2"/>
  <c r="G783" i="2"/>
  <c r="K783" i="2" s="1"/>
  <c r="F783" i="2"/>
  <c r="J782" i="2"/>
  <c r="G782" i="2"/>
  <c r="K782" i="2" s="1"/>
  <c r="F782" i="2"/>
  <c r="J781" i="2"/>
  <c r="G781" i="2"/>
  <c r="K781" i="2" s="1"/>
  <c r="F781" i="2"/>
  <c r="J780" i="2"/>
  <c r="G780" i="2"/>
  <c r="K780" i="2" s="1"/>
  <c r="F780" i="2"/>
  <c r="J779" i="2"/>
  <c r="G779" i="2"/>
  <c r="K779" i="2" s="1"/>
  <c r="F779" i="2"/>
  <c r="J778" i="2"/>
  <c r="G778" i="2"/>
  <c r="F778" i="2"/>
  <c r="J777" i="2"/>
  <c r="G777" i="2"/>
  <c r="F777" i="2"/>
  <c r="J776" i="2"/>
  <c r="G776" i="2"/>
  <c r="F776" i="2"/>
  <c r="J775" i="2"/>
  <c r="G775" i="2"/>
  <c r="K775" i="2" s="1"/>
  <c r="F775" i="2"/>
  <c r="J774" i="2"/>
  <c r="G774" i="2"/>
  <c r="F774" i="2"/>
  <c r="J773" i="2"/>
  <c r="G773" i="2"/>
  <c r="K773" i="2" s="1"/>
  <c r="F773" i="2"/>
  <c r="J772" i="2"/>
  <c r="G772" i="2"/>
  <c r="F772" i="2"/>
  <c r="J771" i="2"/>
  <c r="G771" i="2"/>
  <c r="K771" i="2" s="1"/>
  <c r="F771" i="2"/>
  <c r="J770" i="2"/>
  <c r="G770" i="2"/>
  <c r="K770" i="2" s="1"/>
  <c r="F770" i="2"/>
  <c r="J769" i="2"/>
  <c r="G769" i="2"/>
  <c r="K769" i="2" s="1"/>
  <c r="F769" i="2"/>
  <c r="J768" i="2"/>
  <c r="G768" i="2"/>
  <c r="K768" i="2" s="1"/>
  <c r="F768" i="2"/>
  <c r="J767" i="2"/>
  <c r="G767" i="2"/>
  <c r="K767" i="2" s="1"/>
  <c r="F767" i="2"/>
  <c r="J766" i="2"/>
  <c r="G766" i="2"/>
  <c r="F766" i="2"/>
  <c r="J765" i="2"/>
  <c r="G765" i="2"/>
  <c r="K765" i="2" s="1"/>
  <c r="F765" i="2"/>
  <c r="J764" i="2"/>
  <c r="G764" i="2"/>
  <c r="K764" i="2" s="1"/>
  <c r="F764" i="2"/>
  <c r="J763" i="2"/>
  <c r="G763" i="2"/>
  <c r="K763" i="2" s="1"/>
  <c r="F763" i="2"/>
  <c r="J762" i="2"/>
  <c r="G762" i="2"/>
  <c r="F762" i="2"/>
  <c r="J761" i="2"/>
  <c r="G761" i="2"/>
  <c r="F761" i="2"/>
  <c r="J760" i="2"/>
  <c r="G760" i="2"/>
  <c r="K760" i="2" s="1"/>
  <c r="F760" i="2"/>
  <c r="J759" i="2"/>
  <c r="G759" i="2"/>
  <c r="K759" i="2" s="1"/>
  <c r="F759" i="2"/>
  <c r="J758" i="2"/>
  <c r="G758" i="2"/>
  <c r="K758" i="2" s="1"/>
  <c r="F758" i="2"/>
  <c r="J757" i="2"/>
  <c r="G757" i="2"/>
  <c r="F757" i="2"/>
  <c r="J756" i="2"/>
  <c r="G756" i="2"/>
  <c r="K756" i="2" s="1"/>
  <c r="F756" i="2"/>
  <c r="J755" i="2"/>
  <c r="G755" i="2"/>
  <c r="F755" i="2"/>
  <c r="J754" i="2"/>
  <c r="G754" i="2"/>
  <c r="K754" i="2" s="1"/>
  <c r="F754" i="2"/>
  <c r="J753" i="2"/>
  <c r="G753" i="2"/>
  <c r="F753" i="2"/>
  <c r="J752" i="2"/>
  <c r="G752" i="2"/>
  <c r="K752" i="2" s="1"/>
  <c r="F752" i="2"/>
  <c r="J751" i="2"/>
  <c r="G751" i="2"/>
  <c r="K751" i="2" s="1"/>
  <c r="F751" i="2"/>
  <c r="J750" i="2"/>
  <c r="G750" i="2"/>
  <c r="K750" i="2" s="1"/>
  <c r="F750" i="2"/>
  <c r="J749" i="2"/>
  <c r="G749" i="2"/>
  <c r="F749" i="2"/>
  <c r="J748" i="2"/>
  <c r="G748" i="2"/>
  <c r="K748" i="2" s="1"/>
  <c r="F748" i="2"/>
  <c r="J747" i="2"/>
  <c r="G747" i="2"/>
  <c r="K747" i="2" s="1"/>
  <c r="F747" i="2"/>
  <c r="J746" i="2"/>
  <c r="G746" i="2"/>
  <c r="K746" i="2" s="1"/>
  <c r="F746" i="2"/>
  <c r="J745" i="2"/>
  <c r="G745" i="2"/>
  <c r="K745" i="2" s="1"/>
  <c r="F745" i="2"/>
  <c r="J744" i="2"/>
  <c r="G744" i="2"/>
  <c r="K744" i="2" s="1"/>
  <c r="F744" i="2"/>
  <c r="J743" i="2"/>
  <c r="G743" i="2"/>
  <c r="K743" i="2" s="1"/>
  <c r="F743" i="2"/>
  <c r="J742" i="2"/>
  <c r="G742" i="2"/>
  <c r="F742" i="2"/>
  <c r="J741" i="2"/>
  <c r="G741" i="2"/>
  <c r="F741" i="2"/>
  <c r="J740" i="2"/>
  <c r="G740" i="2"/>
  <c r="K740" i="2" s="1"/>
  <c r="F740" i="2"/>
  <c r="J739" i="2"/>
  <c r="G739" i="2"/>
  <c r="K739" i="2" s="1"/>
  <c r="F739" i="2"/>
  <c r="J738" i="2"/>
  <c r="G738" i="2"/>
  <c r="K738" i="2" s="1"/>
  <c r="F738" i="2"/>
  <c r="J737" i="2"/>
  <c r="G737" i="2"/>
  <c r="K737" i="2" s="1"/>
  <c r="F737" i="2"/>
  <c r="J736" i="2"/>
  <c r="G736" i="2"/>
  <c r="K736" i="2" s="1"/>
  <c r="F736" i="2"/>
  <c r="J735" i="2"/>
  <c r="G735" i="2"/>
  <c r="K735" i="2" s="1"/>
  <c r="F735" i="2"/>
  <c r="J734" i="2"/>
  <c r="G734" i="2"/>
  <c r="K734" i="2" s="1"/>
  <c r="F734" i="2"/>
  <c r="J733" i="2"/>
  <c r="G733" i="2"/>
  <c r="F733" i="2"/>
  <c r="J732" i="2"/>
  <c r="G732" i="2"/>
  <c r="K732" i="2" s="1"/>
  <c r="F732" i="2"/>
  <c r="J731" i="2"/>
  <c r="G731" i="2"/>
  <c r="K731" i="2" s="1"/>
  <c r="F731" i="2"/>
  <c r="J730" i="2"/>
  <c r="G730" i="2"/>
  <c r="K730" i="2" s="1"/>
  <c r="F730" i="2"/>
  <c r="J729" i="2"/>
  <c r="G729" i="2"/>
  <c r="K729" i="2" s="1"/>
  <c r="F729" i="2"/>
  <c r="J728" i="2"/>
  <c r="G728" i="2"/>
  <c r="F728" i="2"/>
  <c r="J727" i="2"/>
  <c r="G727" i="2"/>
  <c r="F727" i="2"/>
  <c r="J726" i="2"/>
  <c r="G726" i="2"/>
  <c r="K726" i="2" s="1"/>
  <c r="F726" i="2"/>
  <c r="J725" i="2"/>
  <c r="G725" i="2"/>
  <c r="F725" i="2"/>
  <c r="J724" i="2"/>
  <c r="G724" i="2"/>
  <c r="K724" i="2" s="1"/>
  <c r="F724" i="2"/>
  <c r="J723" i="2"/>
  <c r="G723" i="2"/>
  <c r="F723" i="2"/>
  <c r="J722" i="2"/>
  <c r="G722" i="2"/>
  <c r="K722" i="2" s="1"/>
  <c r="F722" i="2"/>
  <c r="J721" i="2"/>
  <c r="G721" i="2"/>
  <c r="F721" i="2"/>
  <c r="J720" i="2"/>
  <c r="G720" i="2"/>
  <c r="K720" i="2" s="1"/>
  <c r="F720" i="2"/>
  <c r="J719" i="2"/>
  <c r="G719" i="2"/>
  <c r="F719" i="2"/>
  <c r="J718" i="2"/>
  <c r="G718" i="2"/>
  <c r="K718" i="2" s="1"/>
  <c r="F718" i="2"/>
  <c r="J717" i="2"/>
  <c r="G717" i="2"/>
  <c r="K717" i="2" s="1"/>
  <c r="F717" i="2"/>
  <c r="J716" i="2"/>
  <c r="G716" i="2"/>
  <c r="K716" i="2" s="1"/>
  <c r="F716" i="2"/>
  <c r="J715" i="2"/>
  <c r="G715" i="2"/>
  <c r="K715" i="2" s="1"/>
  <c r="F715" i="2"/>
  <c r="J714" i="2"/>
  <c r="G714" i="2"/>
  <c r="K714" i="2" s="1"/>
  <c r="F714" i="2"/>
  <c r="J713" i="2"/>
  <c r="G713" i="2"/>
  <c r="F713" i="2"/>
  <c r="J712" i="2"/>
  <c r="G712" i="2"/>
  <c r="K712" i="2" s="1"/>
  <c r="F712" i="2"/>
  <c r="J711" i="2"/>
  <c r="G711" i="2"/>
  <c r="K711" i="2" s="1"/>
  <c r="F711" i="2"/>
  <c r="J710" i="2"/>
  <c r="G710" i="2"/>
  <c r="K710" i="2" s="1"/>
  <c r="F710" i="2"/>
  <c r="J709" i="2"/>
  <c r="G709" i="2"/>
  <c r="K709" i="2" s="1"/>
  <c r="F709" i="2"/>
  <c r="J708" i="2"/>
  <c r="G708" i="2"/>
  <c r="K708" i="2" s="1"/>
  <c r="F708" i="2"/>
  <c r="J707" i="2"/>
  <c r="G707" i="2"/>
  <c r="F707" i="2"/>
  <c r="J706" i="2"/>
  <c r="G706" i="2"/>
  <c r="K706" i="2" s="1"/>
  <c r="F706" i="2"/>
  <c r="J705" i="2"/>
  <c r="G705" i="2"/>
  <c r="K705" i="2" s="1"/>
  <c r="F705" i="2"/>
  <c r="J704" i="2"/>
  <c r="G704" i="2"/>
  <c r="K704" i="2" s="1"/>
  <c r="F704" i="2"/>
  <c r="J703" i="2"/>
  <c r="G703" i="2"/>
  <c r="F703" i="2"/>
  <c r="J702" i="2"/>
  <c r="G702" i="2"/>
  <c r="K702" i="2" s="1"/>
  <c r="F702" i="2"/>
  <c r="J701" i="2"/>
  <c r="G701" i="2"/>
  <c r="F701" i="2"/>
  <c r="J700" i="2"/>
  <c r="G700" i="2"/>
  <c r="F700" i="2"/>
  <c r="J699" i="2"/>
  <c r="G699" i="2"/>
  <c r="K699" i="2" s="1"/>
  <c r="F699" i="2"/>
  <c r="J698" i="2"/>
  <c r="G698" i="2"/>
  <c r="F698" i="2"/>
  <c r="J697" i="2"/>
  <c r="G697" i="2"/>
  <c r="K697" i="2" s="1"/>
  <c r="F697" i="2"/>
  <c r="J696" i="2"/>
  <c r="G696" i="2"/>
  <c r="K696" i="2" s="1"/>
  <c r="F696" i="2"/>
  <c r="J695" i="2"/>
  <c r="G695" i="2"/>
  <c r="K695" i="2" s="1"/>
  <c r="F695" i="2"/>
  <c r="J694" i="2"/>
  <c r="G694" i="2"/>
  <c r="F694" i="2"/>
  <c r="J693" i="2"/>
  <c r="G693" i="2"/>
  <c r="K693" i="2" s="1"/>
  <c r="F693" i="2"/>
  <c r="J692" i="2"/>
  <c r="G692" i="2"/>
  <c r="K692" i="2" s="1"/>
  <c r="F692" i="2"/>
  <c r="J691" i="2"/>
  <c r="G691" i="2"/>
  <c r="K691" i="2" s="1"/>
  <c r="F691" i="2"/>
  <c r="J690" i="2"/>
  <c r="G690" i="2"/>
  <c r="F690" i="2"/>
  <c r="J689" i="2"/>
  <c r="G689" i="2"/>
  <c r="F689" i="2"/>
  <c r="J688" i="2"/>
  <c r="G688" i="2"/>
  <c r="K688" i="2" s="1"/>
  <c r="F688" i="2"/>
  <c r="J687" i="2"/>
  <c r="G687" i="2"/>
  <c r="K687" i="2" s="1"/>
  <c r="F687" i="2"/>
  <c r="J686" i="2"/>
  <c r="G686" i="2"/>
  <c r="F686" i="2"/>
  <c r="J685" i="2"/>
  <c r="G685" i="2"/>
  <c r="K685" i="2" s="1"/>
  <c r="F685" i="2"/>
  <c r="J684" i="2"/>
  <c r="G684" i="2"/>
  <c r="F684" i="2"/>
  <c r="J683" i="2"/>
  <c r="G683" i="2"/>
  <c r="F683" i="2"/>
  <c r="J682" i="2"/>
  <c r="G682" i="2"/>
  <c r="F682" i="2"/>
  <c r="J681" i="2"/>
  <c r="G681" i="2"/>
  <c r="K681" i="2" s="1"/>
  <c r="F681" i="2"/>
  <c r="J680" i="2"/>
  <c r="G680" i="2"/>
  <c r="K680" i="2" s="1"/>
  <c r="F680" i="2"/>
  <c r="J679" i="2"/>
  <c r="G679" i="2"/>
  <c r="K679" i="2" s="1"/>
  <c r="F679" i="2"/>
  <c r="J678" i="2"/>
  <c r="G678" i="2"/>
  <c r="F678" i="2"/>
  <c r="J677" i="2"/>
  <c r="G677" i="2"/>
  <c r="K677" i="2" s="1"/>
  <c r="F677" i="2"/>
  <c r="J676" i="2"/>
  <c r="G676" i="2"/>
  <c r="K676" i="2" s="1"/>
  <c r="F676" i="2"/>
  <c r="J675" i="2"/>
  <c r="G675" i="2"/>
  <c r="K675" i="2" s="1"/>
  <c r="F675" i="2"/>
  <c r="J674" i="2"/>
  <c r="G674" i="2"/>
  <c r="K674" i="2" s="1"/>
  <c r="F674" i="2"/>
  <c r="J673" i="2"/>
  <c r="G673" i="2"/>
  <c r="K673" i="2" s="1"/>
  <c r="F673" i="2"/>
  <c r="J672" i="2"/>
  <c r="G672" i="2"/>
  <c r="F672" i="2"/>
  <c r="J671" i="2"/>
  <c r="G671" i="2"/>
  <c r="K671" i="2" s="1"/>
  <c r="F671" i="2"/>
  <c r="J670" i="2"/>
  <c r="G670" i="2"/>
  <c r="F670" i="2"/>
  <c r="J669" i="2"/>
  <c r="G669" i="2"/>
  <c r="K669" i="2" s="1"/>
  <c r="F669" i="2"/>
  <c r="J668" i="2"/>
  <c r="G668" i="2"/>
  <c r="F668" i="2"/>
  <c r="J667" i="2"/>
  <c r="G667" i="2"/>
  <c r="F667" i="2"/>
  <c r="J666" i="2"/>
  <c r="G666" i="2"/>
  <c r="F666" i="2"/>
  <c r="J665" i="2"/>
  <c r="G665" i="2"/>
  <c r="F665" i="2"/>
  <c r="J664" i="2"/>
  <c r="G664" i="2"/>
  <c r="K664" i="2" s="1"/>
  <c r="F664" i="2"/>
  <c r="J663" i="2"/>
  <c r="G663" i="2"/>
  <c r="F663" i="2"/>
  <c r="J662" i="2"/>
  <c r="G662" i="2"/>
  <c r="F662" i="2"/>
  <c r="J661" i="2"/>
  <c r="G661" i="2"/>
  <c r="F661" i="2"/>
  <c r="J660" i="2"/>
  <c r="G660" i="2"/>
  <c r="K660" i="2" s="1"/>
  <c r="F660" i="2"/>
  <c r="J659" i="2"/>
  <c r="G659" i="2"/>
  <c r="F659" i="2"/>
  <c r="J658" i="2"/>
  <c r="G658" i="2"/>
  <c r="K658" i="2" s="1"/>
  <c r="F658" i="2"/>
  <c r="J657" i="2"/>
  <c r="G657" i="2"/>
  <c r="K657" i="2" s="1"/>
  <c r="F657" i="2"/>
  <c r="J656" i="2"/>
  <c r="G656" i="2"/>
  <c r="K656" i="2" s="1"/>
  <c r="F656" i="2"/>
  <c r="J655" i="2"/>
  <c r="G655" i="2"/>
  <c r="K655" i="2" s="1"/>
  <c r="F655" i="2"/>
  <c r="J654" i="2"/>
  <c r="G654" i="2"/>
  <c r="F654" i="2"/>
  <c r="J653" i="2"/>
  <c r="G653" i="2"/>
  <c r="K653" i="2" s="1"/>
  <c r="F653" i="2"/>
  <c r="J652" i="2"/>
  <c r="G652" i="2"/>
  <c r="K652" i="2" s="1"/>
  <c r="F652" i="2"/>
  <c r="J651" i="2"/>
  <c r="G651" i="2"/>
  <c r="K651" i="2" s="1"/>
  <c r="F651" i="2"/>
  <c r="J650" i="2"/>
  <c r="G650" i="2"/>
  <c r="F650" i="2"/>
  <c r="J649" i="2"/>
  <c r="G649" i="2"/>
  <c r="K649" i="2" s="1"/>
  <c r="F649" i="2"/>
  <c r="J648" i="2"/>
  <c r="G648" i="2"/>
  <c r="K648" i="2" s="1"/>
  <c r="F648" i="2"/>
  <c r="J647" i="2"/>
  <c r="G647" i="2"/>
  <c r="K647" i="2" s="1"/>
  <c r="F647" i="2"/>
  <c r="J646" i="2"/>
  <c r="G646" i="2"/>
  <c r="F646" i="2"/>
  <c r="J645" i="2"/>
  <c r="G645" i="2"/>
  <c r="F645" i="2"/>
  <c r="J644" i="2"/>
  <c r="G644" i="2"/>
  <c r="K644" i="2" s="1"/>
  <c r="F644" i="2"/>
  <c r="J643" i="2"/>
  <c r="G643" i="2"/>
  <c r="F643" i="2"/>
  <c r="J642" i="2"/>
  <c r="G642" i="2"/>
  <c r="F642" i="2"/>
  <c r="J641" i="2"/>
  <c r="G641" i="2"/>
  <c r="K641" i="2" s="1"/>
  <c r="F641" i="2"/>
  <c r="J640" i="2"/>
  <c r="G640" i="2"/>
  <c r="F640" i="2"/>
  <c r="J639" i="2"/>
  <c r="G639" i="2"/>
  <c r="K639" i="2" s="1"/>
  <c r="F639" i="2"/>
  <c r="J638" i="2"/>
  <c r="G638" i="2"/>
  <c r="F638" i="2"/>
  <c r="J637" i="2"/>
  <c r="G637" i="2"/>
  <c r="K637" i="2" s="1"/>
  <c r="F637" i="2"/>
  <c r="J636" i="2"/>
  <c r="G636" i="2"/>
  <c r="K636" i="2" s="1"/>
  <c r="F636" i="2"/>
  <c r="J635" i="2"/>
  <c r="G635" i="2"/>
  <c r="K635" i="2" s="1"/>
  <c r="F635" i="2"/>
  <c r="J634" i="2"/>
  <c r="G634" i="2"/>
  <c r="K634" i="2" s="1"/>
  <c r="F634" i="2"/>
  <c r="J633" i="2"/>
  <c r="G633" i="2"/>
  <c r="F633" i="2"/>
  <c r="J632" i="2"/>
  <c r="G632" i="2"/>
  <c r="K632" i="2" s="1"/>
  <c r="F632" i="2"/>
  <c r="J631" i="2"/>
  <c r="G631" i="2"/>
  <c r="K631" i="2" s="1"/>
  <c r="F631" i="2"/>
  <c r="J630" i="2"/>
  <c r="G630" i="2"/>
  <c r="F630" i="2"/>
  <c r="J629" i="2"/>
  <c r="G629" i="2"/>
  <c r="K629" i="2" s="1"/>
  <c r="F629" i="2"/>
  <c r="J628" i="2"/>
  <c r="G628" i="2"/>
  <c r="K628" i="2" s="1"/>
  <c r="F628" i="2"/>
  <c r="J627" i="2"/>
  <c r="G627" i="2"/>
  <c r="F627" i="2"/>
  <c r="J626" i="2"/>
  <c r="G626" i="2"/>
  <c r="K626" i="2" s="1"/>
  <c r="F626" i="2"/>
  <c r="J625" i="2"/>
  <c r="G625" i="2"/>
  <c r="K625" i="2" s="1"/>
  <c r="F625" i="2"/>
  <c r="J624" i="2"/>
  <c r="G624" i="2"/>
  <c r="F624" i="2"/>
  <c r="J623" i="2"/>
  <c r="G623" i="2"/>
  <c r="K623" i="2" s="1"/>
  <c r="F623" i="2"/>
  <c r="J622" i="2"/>
  <c r="G622" i="2"/>
  <c r="K622" i="2" s="1"/>
  <c r="F622" i="2"/>
  <c r="J621" i="2"/>
  <c r="G621" i="2"/>
  <c r="K621" i="2" s="1"/>
  <c r="F621" i="2"/>
  <c r="J620" i="2"/>
  <c r="G620" i="2"/>
  <c r="F620" i="2"/>
  <c r="J619" i="2"/>
  <c r="G619" i="2"/>
  <c r="F619" i="2"/>
  <c r="J618" i="2"/>
  <c r="G618" i="2"/>
  <c r="F618" i="2"/>
  <c r="J617" i="2"/>
  <c r="G617" i="2"/>
  <c r="F617" i="2"/>
  <c r="J616" i="2"/>
  <c r="G616" i="2"/>
  <c r="K616" i="2" s="1"/>
  <c r="F616" i="2"/>
  <c r="J615" i="2"/>
  <c r="G615" i="2"/>
  <c r="F615" i="2"/>
  <c r="J614" i="2"/>
  <c r="G614" i="2"/>
  <c r="F614" i="2"/>
  <c r="J613" i="2"/>
  <c r="G613" i="2"/>
  <c r="F613" i="2"/>
  <c r="J612" i="2"/>
  <c r="G612" i="2"/>
  <c r="K612" i="2" s="1"/>
  <c r="F612" i="2"/>
  <c r="J611" i="2"/>
  <c r="G611" i="2"/>
  <c r="K611" i="2" s="1"/>
  <c r="F611" i="2"/>
  <c r="J610" i="2"/>
  <c r="G610" i="2"/>
  <c r="K610" i="2" s="1"/>
  <c r="F610" i="2"/>
  <c r="J609" i="2"/>
  <c r="G609" i="2"/>
  <c r="K609" i="2" s="1"/>
  <c r="F609" i="2"/>
  <c r="J608" i="2"/>
  <c r="G608" i="2"/>
  <c r="F608" i="2"/>
  <c r="J607" i="2"/>
  <c r="G607" i="2"/>
  <c r="K607" i="2" s="1"/>
  <c r="F607" i="2"/>
  <c r="J606" i="2"/>
  <c r="G606" i="2"/>
  <c r="K606" i="2" s="1"/>
  <c r="F606" i="2"/>
  <c r="J605" i="2"/>
  <c r="G605" i="2"/>
  <c r="K605" i="2" s="1"/>
  <c r="F605" i="2"/>
  <c r="J604" i="2"/>
  <c r="G604" i="2"/>
  <c r="K604" i="2" s="1"/>
  <c r="F604" i="2"/>
  <c r="J603" i="2"/>
  <c r="G603" i="2"/>
  <c r="K603" i="2" s="1"/>
  <c r="F603" i="2"/>
  <c r="J602" i="2"/>
  <c r="G602" i="2"/>
  <c r="K602" i="2" s="1"/>
  <c r="F602" i="2"/>
  <c r="J601" i="2"/>
  <c r="G601" i="2"/>
  <c r="K601" i="2" s="1"/>
  <c r="F601" i="2"/>
  <c r="J600" i="2"/>
  <c r="G600" i="2"/>
  <c r="K600" i="2" s="1"/>
  <c r="F600" i="2"/>
  <c r="J599" i="2"/>
  <c r="G599" i="2"/>
  <c r="F599" i="2"/>
  <c r="J598" i="2"/>
  <c r="G598" i="2"/>
  <c r="K598" i="2" s="1"/>
  <c r="F598" i="2"/>
  <c r="J597" i="2"/>
  <c r="G597" i="2"/>
  <c r="K597" i="2" s="1"/>
  <c r="F597" i="2"/>
  <c r="J596" i="2"/>
  <c r="G596" i="2"/>
  <c r="K596" i="2" s="1"/>
  <c r="F596" i="2"/>
  <c r="J595" i="2"/>
  <c r="G595" i="2"/>
  <c r="F595" i="2"/>
  <c r="J594" i="2"/>
  <c r="G594" i="2"/>
  <c r="K594" i="2" s="1"/>
  <c r="F594" i="2"/>
  <c r="J593" i="2"/>
  <c r="G593" i="2"/>
  <c r="K593" i="2" s="1"/>
  <c r="F593" i="2"/>
  <c r="J592" i="2"/>
  <c r="G592" i="2"/>
  <c r="K592" i="2" s="1"/>
  <c r="F592" i="2"/>
  <c r="J591" i="2"/>
  <c r="G591" i="2"/>
  <c r="F591" i="2"/>
  <c r="J590" i="2"/>
  <c r="G590" i="2"/>
  <c r="K590" i="2" s="1"/>
  <c r="F590" i="2"/>
  <c r="J589" i="2"/>
  <c r="G589" i="2"/>
  <c r="F589" i="2"/>
  <c r="J588" i="2"/>
  <c r="G588" i="2"/>
  <c r="K588" i="2" s="1"/>
  <c r="F588" i="2"/>
  <c r="J587" i="2"/>
  <c r="G587" i="2"/>
  <c r="F587" i="2"/>
  <c r="J586" i="2"/>
  <c r="G586" i="2"/>
  <c r="F586" i="2"/>
  <c r="J585" i="2"/>
  <c r="G585" i="2"/>
  <c r="K585" i="2" s="1"/>
  <c r="F585" i="2"/>
  <c r="J584" i="2"/>
  <c r="G584" i="2"/>
  <c r="K584" i="2" s="1"/>
  <c r="F584" i="2"/>
  <c r="J583" i="2"/>
  <c r="G583" i="2"/>
  <c r="F583" i="2"/>
  <c r="J582" i="2"/>
  <c r="G582" i="2"/>
  <c r="K582" i="2" s="1"/>
  <c r="F582" i="2"/>
  <c r="J581" i="2"/>
  <c r="G581" i="2"/>
  <c r="K581" i="2" s="1"/>
  <c r="F581" i="2"/>
  <c r="J580" i="2"/>
  <c r="G580" i="2"/>
  <c r="K580" i="2" s="1"/>
  <c r="F580" i="2"/>
  <c r="J579" i="2"/>
  <c r="G579" i="2"/>
  <c r="F579" i="2"/>
  <c r="J578" i="2"/>
  <c r="G578" i="2"/>
  <c r="K578" i="2" s="1"/>
  <c r="F578" i="2"/>
  <c r="J577" i="2"/>
  <c r="G577" i="2"/>
  <c r="K577" i="2" s="1"/>
  <c r="F577" i="2"/>
  <c r="J576" i="2"/>
  <c r="G576" i="2"/>
  <c r="K576" i="2" s="1"/>
  <c r="F576" i="2"/>
  <c r="J575" i="2"/>
  <c r="G575" i="2"/>
  <c r="F575" i="2"/>
  <c r="J574" i="2"/>
  <c r="G574" i="2"/>
  <c r="K574" i="2" s="1"/>
  <c r="F574" i="2"/>
  <c r="J573" i="2"/>
  <c r="G573" i="2"/>
  <c r="K573" i="2" s="1"/>
  <c r="F573" i="2"/>
  <c r="J572" i="2"/>
  <c r="G572" i="2"/>
  <c r="K572" i="2" s="1"/>
  <c r="F572" i="2"/>
  <c r="J571" i="2"/>
  <c r="G571" i="2"/>
  <c r="K571" i="2" s="1"/>
  <c r="F571" i="2"/>
  <c r="J570" i="2"/>
  <c r="G570" i="2"/>
  <c r="K570" i="2" s="1"/>
  <c r="F570" i="2"/>
  <c r="J569" i="2"/>
  <c r="G569" i="2"/>
  <c r="F569" i="2"/>
  <c r="J568" i="2"/>
  <c r="G568" i="2"/>
  <c r="K568" i="2" s="1"/>
  <c r="F568" i="2"/>
  <c r="J567" i="2"/>
  <c r="G567" i="2"/>
  <c r="F567" i="2"/>
  <c r="J566" i="2"/>
  <c r="G566" i="2"/>
  <c r="K566" i="2" s="1"/>
  <c r="F566" i="2"/>
  <c r="J565" i="2"/>
  <c r="G565" i="2"/>
  <c r="K565" i="2" s="1"/>
  <c r="F565" i="2"/>
  <c r="J564" i="2"/>
  <c r="G564" i="2"/>
  <c r="K564" i="2" s="1"/>
  <c r="F564" i="2"/>
  <c r="J563" i="2"/>
  <c r="G563" i="2"/>
  <c r="F563" i="2"/>
  <c r="J562" i="2"/>
  <c r="G562" i="2"/>
  <c r="K562" i="2" s="1"/>
  <c r="F562" i="2"/>
  <c r="J561" i="2"/>
  <c r="G561" i="2"/>
  <c r="F561" i="2"/>
  <c r="J560" i="2"/>
  <c r="G560" i="2"/>
  <c r="K560" i="2" s="1"/>
  <c r="F560" i="2"/>
  <c r="J559" i="2"/>
  <c r="G559" i="2"/>
  <c r="F559" i="2"/>
  <c r="J558" i="2"/>
  <c r="G558" i="2"/>
  <c r="F558" i="2"/>
  <c r="J557" i="2"/>
  <c r="G557" i="2"/>
  <c r="F557" i="2"/>
  <c r="J556" i="2"/>
  <c r="G556" i="2"/>
  <c r="K556" i="2" s="1"/>
  <c r="F556" i="2"/>
  <c r="J555" i="2"/>
  <c r="G555" i="2"/>
  <c r="F555" i="2"/>
  <c r="J554" i="2"/>
  <c r="G554" i="2"/>
  <c r="F554" i="2"/>
  <c r="J553" i="2"/>
  <c r="G553" i="2"/>
  <c r="F553" i="2"/>
  <c r="J552" i="2"/>
  <c r="G552" i="2"/>
  <c r="K552" i="2" s="1"/>
  <c r="F552" i="2"/>
  <c r="J551" i="2"/>
  <c r="G551" i="2"/>
  <c r="F551" i="2"/>
  <c r="J550" i="2"/>
  <c r="G550" i="2"/>
  <c r="K550" i="2" s="1"/>
  <c r="F550" i="2"/>
  <c r="J549" i="2"/>
  <c r="G549" i="2"/>
  <c r="K549" i="2" s="1"/>
  <c r="F549" i="2"/>
  <c r="J548" i="2"/>
  <c r="G548" i="2"/>
  <c r="K548" i="2" s="1"/>
  <c r="F548" i="2"/>
  <c r="J547" i="2"/>
  <c r="G547" i="2"/>
  <c r="F547" i="2"/>
  <c r="J546" i="2"/>
  <c r="G546" i="2"/>
  <c r="K546" i="2" s="1"/>
  <c r="F546" i="2"/>
  <c r="J545" i="2"/>
  <c r="G545" i="2"/>
  <c r="K545" i="2" s="1"/>
  <c r="F545" i="2"/>
  <c r="J544" i="2"/>
  <c r="G544" i="2"/>
  <c r="K544" i="2" s="1"/>
  <c r="F544" i="2"/>
  <c r="J543" i="2"/>
  <c r="G543" i="2"/>
  <c r="F543" i="2"/>
  <c r="J542" i="2"/>
  <c r="G542" i="2"/>
  <c r="F542" i="2"/>
  <c r="J541" i="2"/>
  <c r="G541" i="2"/>
  <c r="F541" i="2"/>
  <c r="J540" i="2"/>
  <c r="G540" i="2"/>
  <c r="K540" i="2" s="1"/>
  <c r="F540" i="2"/>
  <c r="J539" i="2"/>
  <c r="G539" i="2"/>
  <c r="K539" i="2" s="1"/>
  <c r="F539" i="2"/>
  <c r="J538" i="2"/>
  <c r="G538" i="2"/>
  <c r="F538" i="2"/>
  <c r="J537" i="2"/>
  <c r="G537" i="2"/>
  <c r="F537" i="2"/>
  <c r="J536" i="2"/>
  <c r="G536" i="2"/>
  <c r="K536" i="2" s="1"/>
  <c r="F536" i="2"/>
  <c r="J535" i="2"/>
  <c r="G535" i="2"/>
  <c r="F535" i="2"/>
  <c r="J534" i="2"/>
  <c r="G534" i="2"/>
  <c r="K534" i="2" s="1"/>
  <c r="F534" i="2"/>
  <c r="J533" i="2"/>
  <c r="G533" i="2"/>
  <c r="K533" i="2" s="1"/>
  <c r="F533" i="2"/>
  <c r="J532" i="2"/>
  <c r="G532" i="2"/>
  <c r="K532" i="2" s="1"/>
  <c r="F532" i="2"/>
  <c r="J531" i="2"/>
  <c r="G531" i="2"/>
  <c r="F531" i="2"/>
  <c r="J530" i="2"/>
  <c r="G530" i="2"/>
  <c r="K530" i="2" s="1"/>
  <c r="F530" i="2"/>
  <c r="J529" i="2"/>
  <c r="G529" i="2"/>
  <c r="K529" i="2" s="1"/>
  <c r="F529" i="2"/>
  <c r="J528" i="2"/>
  <c r="G528" i="2"/>
  <c r="K528" i="2" s="1"/>
  <c r="F528" i="2"/>
  <c r="J527" i="2"/>
  <c r="G527" i="2"/>
  <c r="F527" i="2"/>
  <c r="J526" i="2"/>
  <c r="G526" i="2"/>
  <c r="K526" i="2" s="1"/>
  <c r="F526" i="2"/>
  <c r="J525" i="2"/>
  <c r="G525" i="2"/>
  <c r="F525" i="2"/>
  <c r="J524" i="2"/>
  <c r="G524" i="2"/>
  <c r="K524" i="2" s="1"/>
  <c r="F524" i="2"/>
  <c r="J523" i="2"/>
  <c r="G523" i="2"/>
  <c r="F523" i="2"/>
  <c r="J522" i="2"/>
  <c r="G522" i="2"/>
  <c r="F522" i="2"/>
  <c r="J521" i="2"/>
  <c r="G521" i="2"/>
  <c r="K521" i="2" s="1"/>
  <c r="F521" i="2"/>
  <c r="J520" i="2"/>
  <c r="G520" i="2"/>
  <c r="K520" i="2" s="1"/>
  <c r="F520" i="2"/>
  <c r="J519" i="2"/>
  <c r="G519" i="2"/>
  <c r="K519" i="2" s="1"/>
  <c r="F519" i="2"/>
  <c r="J518" i="2"/>
  <c r="G518" i="2"/>
  <c r="F518" i="2"/>
  <c r="J517" i="2"/>
  <c r="G517" i="2"/>
  <c r="F517" i="2"/>
  <c r="J516" i="2"/>
  <c r="G516" i="2"/>
  <c r="K516" i="2" s="1"/>
  <c r="F516" i="2"/>
  <c r="J515" i="2"/>
  <c r="G515" i="2"/>
  <c r="F515" i="2"/>
  <c r="J514" i="2"/>
  <c r="G514" i="2"/>
  <c r="K514" i="2" s="1"/>
  <c r="F514" i="2"/>
  <c r="J513" i="2"/>
  <c r="G513" i="2"/>
  <c r="F513" i="2"/>
  <c r="J512" i="2"/>
  <c r="G512" i="2"/>
  <c r="K512" i="2" s="1"/>
  <c r="F512" i="2"/>
  <c r="J511" i="2"/>
  <c r="G511" i="2"/>
  <c r="F511" i="2"/>
  <c r="J510" i="2"/>
  <c r="G510" i="2"/>
  <c r="K510" i="2" s="1"/>
  <c r="F510" i="2"/>
  <c r="J509" i="2"/>
  <c r="G509" i="2"/>
  <c r="F509" i="2"/>
  <c r="J508" i="2"/>
  <c r="G508" i="2"/>
  <c r="K508" i="2" s="1"/>
  <c r="F508" i="2"/>
  <c r="J507" i="2"/>
  <c r="G507" i="2"/>
  <c r="F507" i="2"/>
  <c r="J506" i="2"/>
  <c r="G506" i="2"/>
  <c r="K506" i="2" s="1"/>
  <c r="F506" i="2"/>
  <c r="J505" i="2"/>
  <c r="G505" i="2"/>
  <c r="K505" i="2" s="1"/>
  <c r="F505" i="2"/>
  <c r="J504" i="2"/>
  <c r="G504" i="2"/>
  <c r="K504" i="2" s="1"/>
  <c r="F504" i="2"/>
  <c r="J503" i="2"/>
  <c r="G503" i="2"/>
  <c r="F503" i="2"/>
  <c r="J502" i="2"/>
  <c r="G502" i="2"/>
  <c r="K502" i="2" s="1"/>
  <c r="F502" i="2"/>
  <c r="J501" i="2"/>
  <c r="G501" i="2"/>
  <c r="K501" i="2" s="1"/>
  <c r="F501" i="2"/>
  <c r="J500" i="2"/>
  <c r="G500" i="2"/>
  <c r="K500" i="2" s="1"/>
  <c r="F500" i="2"/>
  <c r="J499" i="2"/>
  <c r="G499" i="2"/>
  <c r="F499" i="2"/>
  <c r="J498" i="2"/>
  <c r="G498" i="2"/>
  <c r="K498" i="2" s="1"/>
  <c r="F498" i="2"/>
  <c r="J497" i="2"/>
  <c r="G497" i="2"/>
  <c r="F497" i="2"/>
  <c r="J496" i="2"/>
  <c r="G496" i="2"/>
  <c r="K496" i="2" s="1"/>
  <c r="F496" i="2"/>
  <c r="J495" i="2"/>
  <c r="G495" i="2"/>
  <c r="K495" i="2" s="1"/>
  <c r="F495" i="2"/>
  <c r="J494" i="2"/>
  <c r="G494" i="2"/>
  <c r="F494" i="2"/>
  <c r="J493" i="2"/>
  <c r="G493" i="2"/>
  <c r="F493" i="2"/>
  <c r="J492" i="2"/>
  <c r="G492" i="2"/>
  <c r="K492" i="2" s="1"/>
  <c r="F492" i="2"/>
  <c r="J491" i="2"/>
  <c r="G491" i="2"/>
  <c r="F491" i="2"/>
  <c r="J490" i="2"/>
  <c r="G490" i="2"/>
  <c r="F490" i="2"/>
  <c r="J489" i="2"/>
  <c r="G489" i="2"/>
  <c r="K489" i="2" s="1"/>
  <c r="F489" i="2"/>
  <c r="J488" i="2"/>
  <c r="G488" i="2"/>
  <c r="K488" i="2" s="1"/>
  <c r="F488" i="2"/>
  <c r="J487" i="2"/>
  <c r="G487" i="2"/>
  <c r="F487" i="2"/>
  <c r="J486" i="2"/>
  <c r="G486" i="2"/>
  <c r="K486" i="2" s="1"/>
  <c r="F486" i="2"/>
  <c r="J485" i="2"/>
  <c r="G485" i="2"/>
  <c r="K485" i="2" s="1"/>
  <c r="F485" i="2"/>
  <c r="J484" i="2"/>
  <c r="G484" i="2"/>
  <c r="K484" i="2" s="1"/>
  <c r="F484" i="2"/>
  <c r="J483" i="2"/>
  <c r="G483" i="2"/>
  <c r="F483" i="2"/>
  <c r="J482" i="2"/>
  <c r="G482" i="2"/>
  <c r="K482" i="2" s="1"/>
  <c r="F482" i="2"/>
  <c r="J481" i="2"/>
  <c r="G481" i="2"/>
  <c r="K481" i="2" s="1"/>
  <c r="F481" i="2"/>
  <c r="J480" i="2"/>
  <c r="G480" i="2"/>
  <c r="K480" i="2" s="1"/>
  <c r="F480" i="2"/>
  <c r="J479" i="2"/>
  <c r="G479" i="2"/>
  <c r="F479" i="2"/>
  <c r="J478" i="2"/>
  <c r="G478" i="2"/>
  <c r="F478" i="2"/>
  <c r="J477" i="2"/>
  <c r="G477" i="2"/>
  <c r="F477" i="2"/>
  <c r="J476" i="2"/>
  <c r="G476" i="2"/>
  <c r="K476" i="2" s="1"/>
  <c r="F476" i="2"/>
  <c r="J475" i="2"/>
  <c r="G475" i="2"/>
  <c r="F475" i="2"/>
  <c r="J474" i="2"/>
  <c r="G474" i="2"/>
  <c r="F474" i="2"/>
  <c r="J473" i="2"/>
  <c r="G473" i="2"/>
  <c r="K473" i="2" s="1"/>
  <c r="F473" i="2"/>
  <c r="J472" i="2"/>
  <c r="G472" i="2"/>
  <c r="K472" i="2" s="1"/>
  <c r="F472" i="2"/>
  <c r="J471" i="2"/>
  <c r="G471" i="2"/>
  <c r="F471" i="2"/>
  <c r="J470" i="2"/>
  <c r="G470" i="2"/>
  <c r="K470" i="2" s="1"/>
  <c r="F470" i="2"/>
  <c r="J469" i="2"/>
  <c r="G469" i="2"/>
  <c r="K469" i="2" s="1"/>
  <c r="F469" i="2"/>
  <c r="J468" i="2"/>
  <c r="G468" i="2"/>
  <c r="K468" i="2" s="1"/>
  <c r="F468" i="2"/>
  <c r="J467" i="2"/>
  <c r="G467" i="2"/>
  <c r="F467" i="2"/>
  <c r="J466" i="2"/>
  <c r="G466" i="2"/>
  <c r="K466" i="2" s="1"/>
  <c r="F466" i="2"/>
  <c r="J465" i="2"/>
  <c r="G465" i="2"/>
  <c r="K465" i="2" s="1"/>
  <c r="F465" i="2"/>
  <c r="J464" i="2"/>
  <c r="G464" i="2"/>
  <c r="K464" i="2" s="1"/>
  <c r="F464" i="2"/>
  <c r="J463" i="2"/>
  <c r="G463" i="2"/>
  <c r="F463" i="2"/>
  <c r="J462" i="2"/>
  <c r="G462" i="2"/>
  <c r="K462" i="2" s="1"/>
  <c r="F462" i="2"/>
  <c r="J461" i="2"/>
  <c r="G461" i="2"/>
  <c r="K461" i="2" s="1"/>
  <c r="F461" i="2"/>
  <c r="J460" i="2"/>
  <c r="G460" i="2"/>
  <c r="K460" i="2" s="1"/>
  <c r="F460" i="2"/>
  <c r="J459" i="2"/>
  <c r="G459" i="2"/>
  <c r="F459" i="2"/>
  <c r="J458" i="2"/>
  <c r="G458" i="2"/>
  <c r="F458" i="2"/>
  <c r="J457" i="2"/>
  <c r="G457" i="2"/>
  <c r="K457" i="2" s="1"/>
  <c r="F457" i="2"/>
  <c r="J456" i="2"/>
  <c r="G456" i="2"/>
  <c r="K456" i="2" s="1"/>
  <c r="F456" i="2"/>
  <c r="J455" i="2"/>
  <c r="G455" i="2"/>
  <c r="F455" i="2"/>
  <c r="J454" i="2"/>
  <c r="G454" i="2"/>
  <c r="K454" i="2" s="1"/>
  <c r="F454" i="2"/>
  <c r="J453" i="2"/>
  <c r="G453" i="2"/>
  <c r="K453" i="2" s="1"/>
  <c r="F453" i="2"/>
  <c r="J452" i="2"/>
  <c r="G452" i="2"/>
  <c r="K452" i="2" s="1"/>
  <c r="F452" i="2"/>
  <c r="J451" i="2"/>
  <c r="G451" i="2"/>
  <c r="F451" i="2"/>
  <c r="J450" i="2"/>
  <c r="G450" i="2"/>
  <c r="K450" i="2" s="1"/>
  <c r="F450" i="2"/>
  <c r="J449" i="2"/>
  <c r="G449" i="2"/>
  <c r="F449" i="2"/>
  <c r="J448" i="2"/>
  <c r="G448" i="2"/>
  <c r="K448" i="2" s="1"/>
  <c r="F448" i="2"/>
  <c r="J447" i="2"/>
  <c r="G447" i="2"/>
  <c r="F447" i="2"/>
  <c r="J446" i="2"/>
  <c r="G446" i="2"/>
  <c r="K446" i="2" s="1"/>
  <c r="F446" i="2"/>
  <c r="J445" i="2"/>
  <c r="G445" i="2"/>
  <c r="K445" i="2" s="1"/>
  <c r="F445" i="2"/>
  <c r="J444" i="2"/>
  <c r="G444" i="2"/>
  <c r="K444" i="2" s="1"/>
  <c r="F444" i="2"/>
  <c r="J443" i="2"/>
  <c r="G443" i="2"/>
  <c r="F443" i="2"/>
  <c r="J442" i="2"/>
  <c r="G442" i="2"/>
  <c r="K442" i="2" s="1"/>
  <c r="F442" i="2"/>
  <c r="J441" i="2"/>
  <c r="G441" i="2"/>
  <c r="K441" i="2" s="1"/>
  <c r="F441" i="2"/>
  <c r="J440" i="2"/>
  <c r="G440" i="2"/>
  <c r="K440" i="2" s="1"/>
  <c r="F440" i="2"/>
  <c r="J439" i="2"/>
  <c r="G439" i="2"/>
  <c r="F439" i="2"/>
  <c r="J438" i="2"/>
  <c r="G438" i="2"/>
  <c r="K438" i="2" s="1"/>
  <c r="F438" i="2"/>
  <c r="J437" i="2"/>
  <c r="G437" i="2"/>
  <c r="K437" i="2" s="1"/>
  <c r="F437" i="2"/>
  <c r="J436" i="2"/>
  <c r="G436" i="2"/>
  <c r="K436" i="2" s="1"/>
  <c r="F436" i="2"/>
  <c r="J435" i="2"/>
  <c r="G435" i="2"/>
  <c r="F435" i="2"/>
  <c r="J434" i="2"/>
  <c r="G434" i="2"/>
  <c r="K434" i="2" s="1"/>
  <c r="F434" i="2"/>
  <c r="J433" i="2"/>
  <c r="G433" i="2"/>
  <c r="F433" i="2"/>
  <c r="J432" i="2"/>
  <c r="G432" i="2"/>
  <c r="K432" i="2" s="1"/>
  <c r="F432" i="2"/>
  <c r="J431" i="2"/>
  <c r="G431" i="2"/>
  <c r="F431" i="2"/>
  <c r="J430" i="2"/>
  <c r="G430" i="2"/>
  <c r="K430" i="2" s="1"/>
  <c r="F430" i="2"/>
  <c r="J429" i="2"/>
  <c r="G429" i="2"/>
  <c r="F429" i="2"/>
  <c r="J428" i="2"/>
  <c r="G428" i="2"/>
  <c r="K428" i="2" s="1"/>
  <c r="F428" i="2"/>
  <c r="J427" i="2"/>
  <c r="G427" i="2"/>
  <c r="F427" i="2"/>
  <c r="J426" i="2"/>
  <c r="G426" i="2"/>
  <c r="F426" i="2"/>
  <c r="J425" i="2"/>
  <c r="G425" i="2"/>
  <c r="F425" i="2"/>
  <c r="J424" i="2"/>
  <c r="G424" i="2"/>
  <c r="K424" i="2" s="1"/>
  <c r="F424" i="2"/>
  <c r="J423" i="2"/>
  <c r="G423" i="2"/>
  <c r="K423" i="2" s="1"/>
  <c r="F423" i="2"/>
  <c r="J422" i="2"/>
  <c r="G422" i="2"/>
  <c r="F422" i="2"/>
  <c r="J421" i="2"/>
  <c r="G421" i="2"/>
  <c r="K421" i="2" s="1"/>
  <c r="F421" i="2"/>
  <c r="J420" i="2"/>
  <c r="G420" i="2"/>
  <c r="K420" i="2" s="1"/>
  <c r="F420" i="2"/>
  <c r="J419" i="2"/>
  <c r="G419" i="2"/>
  <c r="F419" i="2"/>
  <c r="J418" i="2"/>
  <c r="G418" i="2"/>
  <c r="K418" i="2" s="1"/>
  <c r="F418" i="2"/>
  <c r="J417" i="2"/>
  <c r="G417" i="2"/>
  <c r="K417" i="2" s="1"/>
  <c r="F417" i="2"/>
  <c r="J416" i="2"/>
  <c r="G416" i="2"/>
  <c r="K416" i="2" s="1"/>
  <c r="F416" i="2"/>
  <c r="J415" i="2"/>
  <c r="G415" i="2"/>
  <c r="K415" i="2" s="1"/>
  <c r="F415" i="2"/>
  <c r="J414" i="2"/>
  <c r="G414" i="2"/>
  <c r="F414" i="2"/>
  <c r="J413" i="2"/>
  <c r="G413" i="2"/>
  <c r="F413" i="2"/>
  <c r="J412" i="2"/>
  <c r="G412" i="2"/>
  <c r="K412" i="2" s="1"/>
  <c r="F412" i="2"/>
  <c r="J411" i="2"/>
  <c r="G411" i="2"/>
  <c r="F411" i="2"/>
  <c r="J410" i="2"/>
  <c r="G410" i="2"/>
  <c r="K410" i="2" s="1"/>
  <c r="F410" i="2"/>
  <c r="J409" i="2"/>
  <c r="G409" i="2"/>
  <c r="F409" i="2"/>
  <c r="J408" i="2"/>
  <c r="G408" i="2"/>
  <c r="K408" i="2" s="1"/>
  <c r="F408" i="2"/>
  <c r="J407" i="2"/>
  <c r="G407" i="2"/>
  <c r="F407" i="2"/>
  <c r="J406" i="2"/>
  <c r="G406" i="2"/>
  <c r="K406" i="2" s="1"/>
  <c r="F406" i="2"/>
  <c r="J405" i="2"/>
  <c r="G405" i="2"/>
  <c r="K405" i="2" s="1"/>
  <c r="F405" i="2"/>
  <c r="J404" i="2"/>
  <c r="G404" i="2"/>
  <c r="K404" i="2" s="1"/>
  <c r="F404" i="2"/>
  <c r="J403" i="2"/>
  <c r="G403" i="2"/>
  <c r="F403" i="2"/>
  <c r="J402" i="2"/>
  <c r="G402" i="2"/>
  <c r="K402" i="2" s="1"/>
  <c r="F402" i="2"/>
  <c r="J401" i="2"/>
  <c r="G401" i="2"/>
  <c r="K401" i="2" s="1"/>
  <c r="F401" i="2"/>
  <c r="J400" i="2"/>
  <c r="G400" i="2"/>
  <c r="K400" i="2" s="1"/>
  <c r="F400" i="2"/>
  <c r="J399" i="2"/>
  <c r="G399" i="2"/>
  <c r="F399" i="2"/>
  <c r="J398" i="2"/>
  <c r="G398" i="2"/>
  <c r="K398" i="2" s="1"/>
  <c r="F398" i="2"/>
  <c r="J397" i="2"/>
  <c r="G397" i="2"/>
  <c r="F397" i="2"/>
  <c r="J396" i="2"/>
  <c r="G396" i="2"/>
  <c r="K396" i="2" s="1"/>
  <c r="F396" i="2"/>
  <c r="J395" i="2"/>
  <c r="G395" i="2"/>
  <c r="F395" i="2"/>
  <c r="J394" i="2"/>
  <c r="G394" i="2"/>
  <c r="K394" i="2" s="1"/>
  <c r="F394" i="2"/>
  <c r="J393" i="2"/>
  <c r="G393" i="2"/>
  <c r="K393" i="2" s="1"/>
  <c r="F393" i="2"/>
  <c r="J392" i="2"/>
  <c r="G392" i="2"/>
  <c r="K392" i="2" s="1"/>
  <c r="F392" i="2"/>
  <c r="J391" i="2"/>
  <c r="G391" i="2"/>
  <c r="F391" i="2"/>
  <c r="J390" i="2"/>
  <c r="G390" i="2"/>
  <c r="K390" i="2" s="1"/>
  <c r="F390" i="2"/>
  <c r="J389" i="2"/>
  <c r="G389" i="2"/>
  <c r="K389" i="2" s="1"/>
  <c r="F389" i="2"/>
  <c r="J388" i="2"/>
  <c r="G388" i="2"/>
  <c r="K388" i="2" s="1"/>
  <c r="F388" i="2"/>
  <c r="J387" i="2"/>
  <c r="G387" i="2"/>
  <c r="F387" i="2"/>
  <c r="J386" i="2"/>
  <c r="G386" i="2"/>
  <c r="F386" i="2"/>
  <c r="J385" i="2"/>
  <c r="G385" i="2"/>
  <c r="F385" i="2"/>
  <c r="J384" i="2"/>
  <c r="G384" i="2"/>
  <c r="K384" i="2" s="1"/>
  <c r="F384" i="2"/>
  <c r="J383" i="2"/>
  <c r="G383" i="2"/>
  <c r="F383" i="2"/>
  <c r="J382" i="2"/>
  <c r="G382" i="2"/>
  <c r="K382" i="2" s="1"/>
  <c r="F382" i="2"/>
  <c r="J381" i="2"/>
  <c r="G381" i="2"/>
  <c r="F381" i="2"/>
  <c r="J380" i="2"/>
  <c r="G380" i="2"/>
  <c r="K380" i="2" s="1"/>
  <c r="F380" i="2"/>
  <c r="J379" i="2"/>
  <c r="G379" i="2"/>
  <c r="K379" i="2" s="1"/>
  <c r="F379" i="2"/>
  <c r="J378" i="2"/>
  <c r="G378" i="2"/>
  <c r="K378" i="2" s="1"/>
  <c r="F378" i="2"/>
  <c r="J377" i="2"/>
  <c r="G377" i="2"/>
  <c r="F377" i="2"/>
  <c r="J376" i="2"/>
  <c r="G376" i="2"/>
  <c r="K376" i="2" s="1"/>
  <c r="F376" i="2"/>
  <c r="J375" i="2"/>
  <c r="G375" i="2"/>
  <c r="F375" i="2"/>
  <c r="J374" i="2"/>
  <c r="G374" i="2"/>
  <c r="F374" i="2"/>
  <c r="J373" i="2"/>
  <c r="G373" i="2"/>
  <c r="F373" i="2"/>
  <c r="J372" i="2"/>
  <c r="G372" i="2"/>
  <c r="K372" i="2" s="1"/>
  <c r="F372" i="2"/>
  <c r="J371" i="2"/>
  <c r="G371" i="2"/>
  <c r="F371" i="2"/>
  <c r="J370" i="2"/>
  <c r="G370" i="2"/>
  <c r="K370" i="2" s="1"/>
  <c r="F370" i="2"/>
  <c r="J369" i="2"/>
  <c r="G369" i="2"/>
  <c r="K369" i="2" s="1"/>
  <c r="F369" i="2"/>
  <c r="J368" i="2"/>
  <c r="G368" i="2"/>
  <c r="K368" i="2" s="1"/>
  <c r="F368" i="2"/>
  <c r="J367" i="2"/>
  <c r="G367" i="2"/>
  <c r="F367" i="2"/>
  <c r="J366" i="2"/>
  <c r="G366" i="2"/>
  <c r="K366" i="2" s="1"/>
  <c r="F366" i="2"/>
  <c r="J365" i="2"/>
  <c r="G365" i="2"/>
  <c r="F365" i="2"/>
  <c r="J364" i="2"/>
  <c r="G364" i="2"/>
  <c r="K364" i="2" s="1"/>
  <c r="F364" i="2"/>
  <c r="J363" i="2"/>
  <c r="G363" i="2"/>
  <c r="F363" i="2"/>
  <c r="J362" i="2"/>
  <c r="G362" i="2"/>
  <c r="K362" i="2" s="1"/>
  <c r="F362" i="2"/>
  <c r="J361" i="2"/>
  <c r="G361" i="2"/>
  <c r="K361" i="2" s="1"/>
  <c r="F361" i="2"/>
  <c r="J360" i="2"/>
  <c r="G360" i="2"/>
  <c r="K360" i="2" s="1"/>
  <c r="F360" i="2"/>
  <c r="J359" i="2"/>
  <c r="G359" i="2"/>
  <c r="K359" i="2" s="1"/>
  <c r="F359" i="2"/>
  <c r="J358" i="2"/>
  <c r="G358" i="2"/>
  <c r="F358" i="2"/>
  <c r="J357" i="2"/>
  <c r="G357" i="2"/>
  <c r="F357" i="2"/>
  <c r="J356" i="2"/>
  <c r="G356" i="2"/>
  <c r="K356" i="2" s="1"/>
  <c r="F356" i="2"/>
  <c r="J355" i="2"/>
  <c r="G355" i="2"/>
  <c r="K355" i="2" s="1"/>
  <c r="F355" i="2"/>
  <c r="J354" i="2"/>
  <c r="G354" i="2"/>
  <c r="K354" i="2" s="1"/>
  <c r="F354" i="2"/>
  <c r="J353" i="2"/>
  <c r="G353" i="2"/>
  <c r="K353" i="2" s="1"/>
  <c r="F353" i="2"/>
  <c r="J352" i="2"/>
  <c r="G352" i="2"/>
  <c r="K352" i="2" s="1"/>
  <c r="F352" i="2"/>
  <c r="J351" i="2"/>
  <c r="G351" i="2"/>
  <c r="F351" i="2"/>
  <c r="J350" i="2"/>
  <c r="G350" i="2"/>
  <c r="K350" i="2" s="1"/>
  <c r="F350" i="2"/>
  <c r="J349" i="2"/>
  <c r="G349" i="2"/>
  <c r="K349" i="2" s="1"/>
  <c r="F349" i="2"/>
  <c r="J348" i="2"/>
  <c r="G348" i="2"/>
  <c r="K348" i="2" s="1"/>
  <c r="F348" i="2"/>
  <c r="J347" i="2"/>
  <c r="G347" i="2"/>
  <c r="F347" i="2"/>
  <c r="J346" i="2"/>
  <c r="G346" i="2"/>
  <c r="K346" i="2" s="1"/>
  <c r="F346" i="2"/>
  <c r="J345" i="2"/>
  <c r="G345" i="2"/>
  <c r="K345" i="2" s="1"/>
  <c r="F345" i="2"/>
  <c r="J344" i="2"/>
  <c r="G344" i="2"/>
  <c r="K344" i="2" s="1"/>
  <c r="F344" i="2"/>
  <c r="J343" i="2"/>
  <c r="G343" i="2"/>
  <c r="F343" i="2"/>
  <c r="J342" i="2"/>
  <c r="G342" i="2"/>
  <c r="F342" i="2"/>
  <c r="J341" i="2"/>
  <c r="G341" i="2"/>
  <c r="K341" i="2" s="1"/>
  <c r="F341" i="2"/>
  <c r="J340" i="2"/>
  <c r="G340" i="2"/>
  <c r="K340" i="2" s="1"/>
  <c r="F340" i="2"/>
  <c r="J339" i="2"/>
  <c r="G339" i="2"/>
  <c r="F339" i="2"/>
  <c r="J338" i="2"/>
  <c r="G338" i="2"/>
  <c r="F338" i="2"/>
  <c r="J337" i="2"/>
  <c r="G337" i="2"/>
  <c r="K337" i="2" s="1"/>
  <c r="F337" i="2"/>
  <c r="J336" i="2"/>
  <c r="G336" i="2"/>
  <c r="K336" i="2" s="1"/>
  <c r="F336" i="2"/>
  <c r="J335" i="2"/>
  <c r="G335" i="2"/>
  <c r="F335" i="2"/>
  <c r="J334" i="2"/>
  <c r="G334" i="2"/>
  <c r="K334" i="2" s="1"/>
  <c r="F334" i="2"/>
  <c r="J333" i="2"/>
  <c r="G333" i="2"/>
  <c r="F333" i="2"/>
  <c r="J332" i="2"/>
  <c r="G332" i="2"/>
  <c r="K332" i="2" s="1"/>
  <c r="F332" i="2"/>
  <c r="J331" i="2"/>
  <c r="G331" i="2"/>
  <c r="F331" i="2"/>
  <c r="J330" i="2"/>
  <c r="G330" i="2"/>
  <c r="K330" i="2" s="1"/>
  <c r="F330" i="2"/>
  <c r="J329" i="2"/>
  <c r="G329" i="2"/>
  <c r="K329" i="2" s="1"/>
  <c r="F329" i="2"/>
  <c r="J328" i="2"/>
  <c r="G328" i="2"/>
  <c r="K328" i="2" s="1"/>
  <c r="F328" i="2"/>
  <c r="J327" i="2"/>
  <c r="G327" i="2"/>
  <c r="F327" i="2"/>
  <c r="J326" i="2"/>
  <c r="G326" i="2"/>
  <c r="K326" i="2" s="1"/>
  <c r="F326" i="2"/>
  <c r="J325" i="2"/>
  <c r="G325" i="2"/>
  <c r="K325" i="2" s="1"/>
  <c r="F325" i="2"/>
  <c r="J324" i="2"/>
  <c r="G324" i="2"/>
  <c r="K324" i="2" s="1"/>
  <c r="F324" i="2"/>
  <c r="J323" i="2"/>
  <c r="G323" i="2"/>
  <c r="F323" i="2"/>
  <c r="J322" i="2"/>
  <c r="G322" i="2"/>
  <c r="F322" i="2"/>
  <c r="J321" i="2"/>
  <c r="G321" i="2"/>
  <c r="F321" i="2"/>
  <c r="J320" i="2"/>
  <c r="G320" i="2"/>
  <c r="K320" i="2" s="1"/>
  <c r="F320" i="2"/>
  <c r="J319" i="2"/>
  <c r="G319" i="2"/>
  <c r="F319" i="2"/>
  <c r="J318" i="2"/>
  <c r="G318" i="2"/>
  <c r="K318" i="2" s="1"/>
  <c r="F318" i="2"/>
  <c r="J317" i="2"/>
  <c r="G317" i="2"/>
  <c r="K317" i="2" s="1"/>
  <c r="F317" i="2"/>
  <c r="J316" i="2"/>
  <c r="G316" i="2"/>
  <c r="K316" i="2" s="1"/>
  <c r="F316" i="2"/>
  <c r="J315" i="2"/>
  <c r="G315" i="2"/>
  <c r="F315" i="2"/>
  <c r="J314" i="2"/>
  <c r="G314" i="2"/>
  <c r="K314" i="2" s="1"/>
  <c r="F314" i="2"/>
  <c r="J313" i="2"/>
  <c r="G313" i="2"/>
  <c r="K313" i="2" s="1"/>
  <c r="F313" i="2"/>
  <c r="J312" i="2"/>
  <c r="G312" i="2"/>
  <c r="K312" i="2" s="1"/>
  <c r="F312" i="2"/>
  <c r="J311" i="2"/>
  <c r="G311" i="2"/>
  <c r="K311" i="2" s="1"/>
  <c r="F311" i="2"/>
  <c r="J310" i="2"/>
  <c r="G310" i="2"/>
  <c r="K310" i="2" s="1"/>
  <c r="F310" i="2"/>
  <c r="J309" i="2"/>
  <c r="G309" i="2"/>
  <c r="K309" i="2" s="1"/>
  <c r="F309" i="2"/>
  <c r="J308" i="2"/>
  <c r="G308" i="2"/>
  <c r="K308" i="2" s="1"/>
  <c r="F308" i="2"/>
  <c r="J307" i="2"/>
  <c r="G307" i="2"/>
  <c r="F307" i="2"/>
  <c r="J306" i="2"/>
  <c r="G306" i="2"/>
  <c r="K306" i="2" s="1"/>
  <c r="F306" i="2"/>
  <c r="J305" i="2"/>
  <c r="G305" i="2"/>
  <c r="K305" i="2" s="1"/>
  <c r="F305" i="2"/>
  <c r="J304" i="2"/>
  <c r="G304" i="2"/>
  <c r="K304" i="2" s="1"/>
  <c r="F304" i="2"/>
  <c r="J303" i="2"/>
  <c r="G303" i="2"/>
  <c r="F303" i="2"/>
  <c r="J302" i="2"/>
  <c r="G302" i="2"/>
  <c r="F302" i="2"/>
  <c r="J301" i="2"/>
  <c r="G301" i="2"/>
  <c r="F301" i="2"/>
  <c r="J300" i="2"/>
  <c r="G300" i="2"/>
  <c r="K300" i="2" s="1"/>
  <c r="F300" i="2"/>
  <c r="J299" i="2"/>
  <c r="G299" i="2"/>
  <c r="K299" i="2" s="1"/>
  <c r="F299" i="2"/>
  <c r="J298" i="2"/>
  <c r="G298" i="2"/>
  <c r="F298" i="2"/>
  <c r="J297" i="2"/>
  <c r="G297" i="2"/>
  <c r="K297" i="2" s="1"/>
  <c r="F297" i="2"/>
  <c r="J296" i="2"/>
  <c r="G296" i="2"/>
  <c r="K296" i="2" s="1"/>
  <c r="F296" i="2"/>
  <c r="J295" i="2"/>
  <c r="G295" i="2"/>
  <c r="F295" i="2"/>
  <c r="J294" i="2"/>
  <c r="G294" i="2"/>
  <c r="F294" i="2"/>
  <c r="J293" i="2"/>
  <c r="G293" i="2"/>
  <c r="K293" i="2" s="1"/>
  <c r="F293" i="2"/>
  <c r="J292" i="2"/>
  <c r="G292" i="2"/>
  <c r="K292" i="2" s="1"/>
  <c r="F292" i="2"/>
  <c r="J291" i="2"/>
  <c r="G291" i="2"/>
  <c r="F291" i="2"/>
  <c r="J290" i="2"/>
  <c r="G290" i="2"/>
  <c r="K290" i="2" s="1"/>
  <c r="F290" i="2"/>
  <c r="J289" i="2"/>
  <c r="G289" i="2"/>
  <c r="F289" i="2"/>
  <c r="J288" i="2"/>
  <c r="G288" i="2"/>
  <c r="K288" i="2" s="1"/>
  <c r="F288" i="2"/>
  <c r="J287" i="2"/>
  <c r="G287" i="2"/>
  <c r="F287" i="2"/>
  <c r="J286" i="2"/>
  <c r="G286" i="2"/>
  <c r="F286" i="2"/>
  <c r="J285" i="2"/>
  <c r="G285" i="2"/>
  <c r="K285" i="2" s="1"/>
  <c r="F285" i="2"/>
  <c r="J284" i="2"/>
  <c r="G284" i="2"/>
  <c r="K284" i="2" s="1"/>
  <c r="F284" i="2"/>
  <c r="J283" i="2"/>
  <c r="G283" i="2"/>
  <c r="F283" i="2"/>
  <c r="J282" i="2"/>
  <c r="G282" i="2"/>
  <c r="K282" i="2" s="1"/>
  <c r="F282" i="2"/>
  <c r="J281" i="2"/>
  <c r="G281" i="2"/>
  <c r="K281" i="2" s="1"/>
  <c r="F281" i="2"/>
  <c r="J280" i="2"/>
  <c r="G280" i="2"/>
  <c r="K280" i="2" s="1"/>
  <c r="F280" i="2"/>
  <c r="J279" i="2"/>
  <c r="G279" i="2"/>
  <c r="F279" i="2"/>
  <c r="J278" i="2"/>
  <c r="G278" i="2"/>
  <c r="F278" i="2"/>
  <c r="J277" i="2"/>
  <c r="G277" i="2"/>
  <c r="K277" i="2" s="1"/>
  <c r="F277" i="2"/>
  <c r="J276" i="2"/>
  <c r="G276" i="2"/>
  <c r="K276" i="2" s="1"/>
  <c r="F276" i="2"/>
  <c r="J275" i="2"/>
  <c r="G275" i="2"/>
  <c r="F275" i="2"/>
  <c r="J274" i="2"/>
  <c r="G274" i="2"/>
  <c r="K274" i="2" s="1"/>
  <c r="F274" i="2"/>
  <c r="J273" i="2"/>
  <c r="G273" i="2"/>
  <c r="K273" i="2" s="1"/>
  <c r="F273" i="2"/>
  <c r="J272" i="2"/>
  <c r="G272" i="2"/>
  <c r="K272" i="2" s="1"/>
  <c r="F272" i="2"/>
  <c r="J271" i="2"/>
  <c r="G271" i="2"/>
  <c r="K271" i="2" s="1"/>
  <c r="F271" i="2"/>
  <c r="J270" i="2"/>
  <c r="G270" i="2"/>
  <c r="K270" i="2" s="1"/>
  <c r="F270" i="2"/>
  <c r="J269" i="2"/>
  <c r="G269" i="2"/>
  <c r="K269" i="2" s="1"/>
  <c r="F269" i="2"/>
  <c r="J268" i="2"/>
  <c r="G268" i="2"/>
  <c r="K268" i="2" s="1"/>
  <c r="F268" i="2"/>
  <c r="J267" i="2"/>
  <c r="G267" i="2"/>
  <c r="K267" i="2" s="1"/>
  <c r="F267" i="2"/>
  <c r="J266" i="2"/>
  <c r="G266" i="2"/>
  <c r="K266" i="2" s="1"/>
  <c r="F266" i="2"/>
  <c r="J265" i="2"/>
  <c r="G265" i="2"/>
  <c r="F265" i="2"/>
  <c r="J264" i="2"/>
  <c r="G264" i="2"/>
  <c r="K264" i="2" s="1"/>
  <c r="F264" i="2"/>
  <c r="J263" i="2"/>
  <c r="G263" i="2"/>
  <c r="F263" i="2"/>
  <c r="J262" i="2"/>
  <c r="G262" i="2"/>
  <c r="K262" i="2" s="1"/>
  <c r="F262" i="2"/>
  <c r="J261" i="2"/>
  <c r="G261" i="2"/>
  <c r="K261" i="2" s="1"/>
  <c r="F261" i="2"/>
  <c r="J260" i="2"/>
  <c r="G260" i="2"/>
  <c r="K260" i="2" s="1"/>
  <c r="F260" i="2"/>
  <c r="J259" i="2"/>
  <c r="G259" i="2"/>
  <c r="F259" i="2"/>
  <c r="J258" i="2"/>
  <c r="G258" i="2"/>
  <c r="F258" i="2"/>
  <c r="J257" i="2"/>
  <c r="G257" i="2"/>
  <c r="F257" i="2"/>
  <c r="J256" i="2"/>
  <c r="G256" i="2"/>
  <c r="K256" i="2" s="1"/>
  <c r="F256" i="2"/>
  <c r="J255" i="2"/>
  <c r="G255" i="2"/>
  <c r="F255" i="2"/>
  <c r="J254" i="2"/>
  <c r="G254" i="2"/>
  <c r="K254" i="2" s="1"/>
  <c r="F254" i="2"/>
  <c r="J253" i="2"/>
  <c r="G253" i="2"/>
  <c r="F253" i="2"/>
  <c r="J252" i="2"/>
  <c r="G252" i="2"/>
  <c r="K252" i="2" s="1"/>
  <c r="F252" i="2"/>
  <c r="J251" i="2"/>
  <c r="G251" i="2"/>
  <c r="K251" i="2" s="1"/>
  <c r="F251" i="2"/>
  <c r="J250" i="2"/>
  <c r="G250" i="2"/>
  <c r="K250" i="2" s="1"/>
  <c r="F250" i="2"/>
  <c r="J249" i="2"/>
  <c r="G249" i="2"/>
  <c r="F249" i="2"/>
  <c r="J248" i="2"/>
  <c r="G248" i="2"/>
  <c r="K248" i="2" s="1"/>
  <c r="F248" i="2"/>
  <c r="J247" i="2"/>
  <c r="G247" i="2"/>
  <c r="K247" i="2" s="1"/>
  <c r="F247" i="2"/>
  <c r="J246" i="2"/>
  <c r="G246" i="2"/>
  <c r="F246" i="2"/>
  <c r="J245" i="2"/>
  <c r="G245" i="2"/>
  <c r="K245" i="2" s="1"/>
  <c r="F245" i="2"/>
  <c r="J244" i="2"/>
  <c r="G244" i="2"/>
  <c r="K244" i="2" s="1"/>
  <c r="F244" i="2"/>
  <c r="J243" i="2"/>
  <c r="G243" i="2"/>
  <c r="K243" i="2" s="1"/>
  <c r="F243" i="2"/>
  <c r="J242" i="2"/>
  <c r="G242" i="2"/>
  <c r="F242" i="2"/>
  <c r="J241" i="2"/>
  <c r="G241" i="2"/>
  <c r="F241" i="2"/>
  <c r="J240" i="2"/>
  <c r="G240" i="2"/>
  <c r="K240" i="2" s="1"/>
  <c r="F240" i="2"/>
  <c r="J239" i="2"/>
  <c r="G239" i="2"/>
  <c r="F239" i="2"/>
  <c r="J238" i="2"/>
  <c r="G238" i="2"/>
  <c r="K238" i="2" s="1"/>
  <c r="F238" i="2"/>
  <c r="J237" i="2"/>
  <c r="G237" i="2"/>
  <c r="F237" i="2"/>
  <c r="J236" i="2"/>
  <c r="G236" i="2"/>
  <c r="K236" i="2" s="1"/>
  <c r="F236" i="2"/>
  <c r="J235" i="2"/>
  <c r="G235" i="2"/>
  <c r="F235" i="2"/>
  <c r="J234" i="2"/>
  <c r="G234" i="2"/>
  <c r="F234" i="2"/>
  <c r="J233" i="2"/>
  <c r="G233" i="2"/>
  <c r="K233" i="2" s="1"/>
  <c r="F233" i="2"/>
  <c r="J232" i="2"/>
  <c r="G232" i="2"/>
  <c r="K232" i="2" s="1"/>
  <c r="F232" i="2"/>
  <c r="J231" i="2"/>
  <c r="G231" i="2"/>
  <c r="K231" i="2" s="1"/>
  <c r="F231" i="2"/>
  <c r="J230" i="2"/>
  <c r="G230" i="2"/>
  <c r="K230" i="2" s="1"/>
  <c r="F230" i="2"/>
  <c r="J229" i="2"/>
  <c r="G229" i="2"/>
  <c r="K229" i="2" s="1"/>
  <c r="F229" i="2"/>
  <c r="J228" i="2"/>
  <c r="G228" i="2"/>
  <c r="K228" i="2" s="1"/>
  <c r="F228" i="2"/>
  <c r="J227" i="2"/>
  <c r="G227" i="2"/>
  <c r="F227" i="2"/>
  <c r="J226" i="2"/>
  <c r="G226" i="2"/>
  <c r="K226" i="2" s="1"/>
  <c r="F226" i="2"/>
  <c r="J225" i="2"/>
  <c r="G225" i="2"/>
  <c r="K225" i="2" s="1"/>
  <c r="F225" i="2"/>
  <c r="J224" i="2"/>
  <c r="G224" i="2"/>
  <c r="K224" i="2" s="1"/>
  <c r="F224" i="2"/>
  <c r="J223" i="2"/>
  <c r="G223" i="2"/>
  <c r="F223" i="2"/>
  <c r="J222" i="2"/>
  <c r="G222" i="2"/>
  <c r="F222" i="2"/>
  <c r="J221" i="2"/>
  <c r="G221" i="2"/>
  <c r="F221" i="2"/>
  <c r="J220" i="2"/>
  <c r="G220" i="2"/>
  <c r="K220" i="2" s="1"/>
  <c r="F220" i="2"/>
  <c r="J219" i="2"/>
  <c r="G219" i="2"/>
  <c r="K219" i="2" s="1"/>
  <c r="F219" i="2"/>
  <c r="J218" i="2"/>
  <c r="G218" i="2"/>
  <c r="K218" i="2" s="1"/>
  <c r="F218" i="2"/>
  <c r="J217" i="2"/>
  <c r="G217" i="2"/>
  <c r="K217" i="2" s="1"/>
  <c r="F217" i="2"/>
  <c r="J216" i="2"/>
  <c r="G216" i="2"/>
  <c r="K216" i="2" s="1"/>
  <c r="F216" i="2"/>
  <c r="J215" i="2"/>
  <c r="G215" i="2"/>
  <c r="F215" i="2"/>
  <c r="J214" i="2"/>
  <c r="G214" i="2"/>
  <c r="K214" i="2" s="1"/>
  <c r="F214" i="2"/>
  <c r="J213" i="2"/>
  <c r="G213" i="2"/>
  <c r="F213" i="2"/>
  <c r="J212" i="2"/>
  <c r="G212" i="2"/>
  <c r="K212" i="2" s="1"/>
  <c r="F212" i="2"/>
  <c r="J211" i="2"/>
  <c r="G211" i="2"/>
  <c r="F211" i="2"/>
  <c r="J210" i="2"/>
  <c r="G210" i="2"/>
  <c r="F210" i="2"/>
  <c r="J209" i="2"/>
  <c r="G209" i="2"/>
  <c r="F209" i="2"/>
  <c r="J208" i="2"/>
  <c r="G208" i="2"/>
  <c r="K208" i="2" s="1"/>
  <c r="F208" i="2"/>
  <c r="J207" i="2"/>
  <c r="G207" i="2"/>
  <c r="K207" i="2" s="1"/>
  <c r="F207" i="2"/>
  <c r="J206" i="2"/>
  <c r="G206" i="2"/>
  <c r="K206" i="2" s="1"/>
  <c r="F206" i="2"/>
  <c r="J205" i="2"/>
  <c r="G205" i="2"/>
  <c r="F205" i="2"/>
  <c r="J204" i="2"/>
  <c r="G204" i="2"/>
  <c r="K204" i="2" s="1"/>
  <c r="F204" i="2"/>
  <c r="J203" i="2"/>
  <c r="G203" i="2"/>
  <c r="F203" i="2"/>
  <c r="J202" i="2"/>
  <c r="G202" i="2"/>
  <c r="K202" i="2" s="1"/>
  <c r="F202" i="2"/>
  <c r="J201" i="2"/>
  <c r="G201" i="2"/>
  <c r="F201" i="2"/>
  <c r="J200" i="2"/>
  <c r="G200" i="2"/>
  <c r="K200" i="2" s="1"/>
  <c r="F200" i="2"/>
  <c r="J199" i="2"/>
  <c r="G199" i="2"/>
  <c r="K199" i="2" s="1"/>
  <c r="F199" i="2"/>
  <c r="J198" i="2"/>
  <c r="G198" i="2"/>
  <c r="F198" i="2"/>
  <c r="J197" i="2"/>
  <c r="G197" i="2"/>
  <c r="K197" i="2" s="1"/>
  <c r="F197" i="2"/>
  <c r="J196" i="2"/>
  <c r="G196" i="2"/>
  <c r="K196" i="2" s="1"/>
  <c r="F196" i="2"/>
  <c r="J195" i="2"/>
  <c r="G195" i="2"/>
  <c r="F195" i="2"/>
  <c r="J194" i="2"/>
  <c r="G194" i="2"/>
  <c r="K194" i="2" s="1"/>
  <c r="F194" i="2"/>
  <c r="J193" i="2"/>
  <c r="G193" i="2"/>
  <c r="K193" i="2" s="1"/>
  <c r="F193" i="2"/>
  <c r="J192" i="2"/>
  <c r="G192" i="2"/>
  <c r="K192" i="2" s="1"/>
  <c r="F192" i="2"/>
  <c r="J191" i="2"/>
  <c r="G191" i="2"/>
  <c r="F191" i="2"/>
  <c r="J190" i="2"/>
  <c r="G190" i="2"/>
  <c r="F190" i="2"/>
  <c r="J189" i="2"/>
  <c r="G189" i="2"/>
  <c r="K189" i="2" s="1"/>
  <c r="F189" i="2"/>
  <c r="J188" i="2"/>
  <c r="G188" i="2"/>
  <c r="K188" i="2" s="1"/>
  <c r="F188" i="2"/>
  <c r="J187" i="2"/>
  <c r="G187" i="2"/>
  <c r="K187" i="2" s="1"/>
  <c r="F187" i="2"/>
  <c r="J186" i="2"/>
  <c r="G186" i="2"/>
  <c r="K186" i="2" s="1"/>
  <c r="F186" i="2"/>
  <c r="J185" i="2"/>
  <c r="G185" i="2"/>
  <c r="K185" i="2" s="1"/>
  <c r="F185" i="2"/>
  <c r="J184" i="2"/>
  <c r="G184" i="2"/>
  <c r="K184" i="2" s="1"/>
  <c r="F184" i="2"/>
  <c r="J183" i="2"/>
  <c r="G183" i="2"/>
  <c r="F183" i="2"/>
  <c r="J182" i="2"/>
  <c r="G182" i="2"/>
  <c r="K182" i="2" s="1"/>
  <c r="F182" i="2"/>
  <c r="J181" i="2"/>
  <c r="G181" i="2"/>
  <c r="K181" i="2" s="1"/>
  <c r="F181" i="2"/>
  <c r="J180" i="2"/>
  <c r="G180" i="2"/>
  <c r="K180" i="2" s="1"/>
  <c r="F180" i="2"/>
  <c r="J179" i="2"/>
  <c r="G179" i="2"/>
  <c r="F179" i="2"/>
  <c r="J178" i="2"/>
  <c r="G178" i="2"/>
  <c r="K178" i="2" s="1"/>
  <c r="F178" i="2"/>
  <c r="J177" i="2"/>
  <c r="G177" i="2"/>
  <c r="K177" i="2" s="1"/>
  <c r="F177" i="2"/>
  <c r="J176" i="2"/>
  <c r="G176" i="2"/>
  <c r="K176" i="2" s="1"/>
  <c r="F176" i="2"/>
  <c r="J175" i="2"/>
  <c r="G175" i="2"/>
  <c r="F175" i="2"/>
  <c r="J174" i="2"/>
  <c r="G174" i="2"/>
  <c r="K174" i="2" s="1"/>
  <c r="F174" i="2"/>
  <c r="J173" i="2"/>
  <c r="G173" i="2"/>
  <c r="F173" i="2"/>
  <c r="J172" i="2"/>
  <c r="G172" i="2"/>
  <c r="K172" i="2" s="1"/>
  <c r="F172" i="2"/>
  <c r="J171" i="2"/>
  <c r="G171" i="2"/>
  <c r="F171" i="2"/>
  <c r="J170" i="2"/>
  <c r="G170" i="2"/>
  <c r="K170" i="2" s="1"/>
  <c r="F170" i="2"/>
  <c r="J169" i="2"/>
  <c r="G169" i="2"/>
  <c r="K169" i="2" s="1"/>
  <c r="F169" i="2"/>
  <c r="J168" i="2"/>
  <c r="G168" i="2"/>
  <c r="K168" i="2" s="1"/>
  <c r="F168" i="2"/>
  <c r="J167" i="2"/>
  <c r="G167" i="2"/>
  <c r="K167" i="2" s="1"/>
  <c r="F167" i="2"/>
  <c r="J166" i="2"/>
  <c r="G166" i="2"/>
  <c r="K166" i="2" s="1"/>
  <c r="F166" i="2"/>
  <c r="J165" i="2"/>
  <c r="G165" i="2"/>
  <c r="K165" i="2" s="1"/>
  <c r="F165" i="2"/>
  <c r="J164" i="2"/>
  <c r="G164" i="2"/>
  <c r="K164" i="2" s="1"/>
  <c r="F164" i="2"/>
  <c r="J163" i="2"/>
  <c r="G163" i="2"/>
  <c r="F163" i="2"/>
  <c r="J162" i="2"/>
  <c r="G162" i="2"/>
  <c r="K162" i="2" s="1"/>
  <c r="F162" i="2"/>
  <c r="J161" i="2"/>
  <c r="G161" i="2"/>
  <c r="K161" i="2" s="1"/>
  <c r="F161" i="2"/>
  <c r="J160" i="2"/>
  <c r="G160" i="2"/>
  <c r="K160" i="2" s="1"/>
  <c r="F160" i="2"/>
  <c r="J159" i="2"/>
  <c r="G159" i="2"/>
  <c r="F159" i="2"/>
  <c r="J158" i="2"/>
  <c r="G158" i="2"/>
  <c r="K158" i="2" s="1"/>
  <c r="F158" i="2"/>
  <c r="J157" i="2"/>
  <c r="G157" i="2"/>
  <c r="F157" i="2"/>
  <c r="J156" i="2"/>
  <c r="G156" i="2"/>
  <c r="K156" i="2" s="1"/>
  <c r="F156" i="2"/>
  <c r="J155" i="2"/>
  <c r="G155" i="2"/>
  <c r="K155" i="2" s="1"/>
  <c r="F155" i="2"/>
  <c r="J154" i="2"/>
  <c r="G154" i="2"/>
  <c r="K154" i="2" s="1"/>
  <c r="F154" i="2"/>
  <c r="J153" i="2"/>
  <c r="G153" i="2"/>
  <c r="K153" i="2" s="1"/>
  <c r="F153" i="2"/>
  <c r="J152" i="2"/>
  <c r="G152" i="2"/>
  <c r="K152" i="2" s="1"/>
  <c r="F152" i="2"/>
  <c r="J151" i="2"/>
  <c r="G151" i="2"/>
  <c r="F151" i="2"/>
  <c r="J150" i="2"/>
  <c r="G150" i="2"/>
  <c r="K150" i="2" s="1"/>
  <c r="F150" i="2"/>
  <c r="J149" i="2"/>
  <c r="G149" i="2"/>
  <c r="K149" i="2" s="1"/>
  <c r="F149" i="2"/>
  <c r="J148" i="2"/>
  <c r="G148" i="2"/>
  <c r="K148" i="2" s="1"/>
  <c r="F148" i="2"/>
  <c r="J147" i="2"/>
  <c r="G147" i="2"/>
  <c r="F147" i="2"/>
  <c r="J146" i="2"/>
  <c r="G146" i="2"/>
  <c r="K146" i="2" s="1"/>
  <c r="F146" i="2"/>
  <c r="J145" i="2"/>
  <c r="G145" i="2"/>
  <c r="K145" i="2" s="1"/>
  <c r="F145" i="2"/>
  <c r="J144" i="2"/>
  <c r="G144" i="2"/>
  <c r="K144" i="2" s="1"/>
  <c r="F144" i="2"/>
  <c r="J143" i="2"/>
  <c r="G143" i="2"/>
  <c r="F143" i="2"/>
  <c r="J142" i="2"/>
  <c r="G142" i="2"/>
  <c r="F142" i="2"/>
  <c r="J141" i="2"/>
  <c r="G141" i="2"/>
  <c r="K141" i="2" s="1"/>
  <c r="F141" i="2"/>
  <c r="J140" i="2"/>
  <c r="G140" i="2"/>
  <c r="F140" i="2"/>
  <c r="J139" i="2"/>
  <c r="G139" i="2"/>
  <c r="F139" i="2"/>
  <c r="J138" i="2"/>
  <c r="G138" i="2"/>
  <c r="K138" i="2" s="1"/>
  <c r="F138" i="2"/>
  <c r="J137" i="2"/>
  <c r="G137" i="2"/>
  <c r="F137" i="2"/>
  <c r="J136" i="2"/>
  <c r="G136" i="2"/>
  <c r="K136" i="2" s="1"/>
  <c r="F136" i="2"/>
  <c r="J135" i="2"/>
  <c r="G135" i="2"/>
  <c r="K135" i="2" s="1"/>
  <c r="F135" i="2"/>
  <c r="J134" i="2"/>
  <c r="G134" i="2"/>
  <c r="K134" i="2" s="1"/>
  <c r="F134" i="2"/>
  <c r="J133" i="2"/>
  <c r="G133" i="2"/>
  <c r="K133" i="2" s="1"/>
  <c r="F133" i="2"/>
  <c r="J132" i="2"/>
  <c r="G132" i="2"/>
  <c r="K132" i="2" s="1"/>
  <c r="F132" i="2"/>
  <c r="J131" i="2"/>
  <c r="G131" i="2"/>
  <c r="K131" i="2" s="1"/>
  <c r="F131" i="2"/>
  <c r="J130" i="2"/>
  <c r="G130" i="2"/>
  <c r="K130" i="2" s="1"/>
  <c r="F130" i="2"/>
  <c r="J129" i="2"/>
  <c r="G129" i="2"/>
  <c r="K129" i="2" s="1"/>
  <c r="F129" i="2"/>
  <c r="J128" i="2"/>
  <c r="G128" i="2"/>
  <c r="K128" i="2" s="1"/>
  <c r="F128" i="2"/>
  <c r="J127" i="2"/>
  <c r="G127" i="2"/>
  <c r="K127" i="2" s="1"/>
  <c r="F127" i="2"/>
  <c r="J126" i="2"/>
  <c r="G126" i="2"/>
  <c r="K126" i="2" s="1"/>
  <c r="F126" i="2"/>
  <c r="J125" i="2"/>
  <c r="G125" i="2"/>
  <c r="F125" i="2"/>
  <c r="J124" i="2"/>
  <c r="G124" i="2"/>
  <c r="K124" i="2" s="1"/>
  <c r="F124" i="2"/>
  <c r="J123" i="2"/>
  <c r="G123" i="2"/>
  <c r="K123" i="2" s="1"/>
  <c r="F123" i="2"/>
  <c r="J122" i="2"/>
  <c r="G122" i="2"/>
  <c r="K122" i="2" s="1"/>
  <c r="F122" i="2"/>
  <c r="J121" i="2"/>
  <c r="G121" i="2"/>
  <c r="K121" i="2" s="1"/>
  <c r="F121" i="2"/>
  <c r="J120" i="2"/>
  <c r="G120" i="2"/>
  <c r="K120" i="2" s="1"/>
  <c r="F120" i="2"/>
  <c r="J119" i="2"/>
  <c r="G119" i="2"/>
  <c r="K119" i="2" s="1"/>
  <c r="F119" i="2"/>
  <c r="J118" i="2"/>
  <c r="G118" i="2"/>
  <c r="K118" i="2" s="1"/>
  <c r="F118" i="2"/>
  <c r="J117" i="2"/>
  <c r="G117" i="2"/>
  <c r="K117" i="2" s="1"/>
  <c r="F117" i="2"/>
  <c r="J116" i="2"/>
  <c r="G116" i="2"/>
  <c r="K116" i="2" s="1"/>
  <c r="F116" i="2"/>
  <c r="J115" i="2"/>
  <c r="G115" i="2"/>
  <c r="K115" i="2" s="1"/>
  <c r="F115" i="2"/>
  <c r="J114" i="2"/>
  <c r="G114" i="2"/>
  <c r="K114" i="2" s="1"/>
  <c r="F114" i="2"/>
  <c r="J113" i="2"/>
  <c r="G113" i="2"/>
  <c r="K113" i="2" s="1"/>
  <c r="F113" i="2"/>
  <c r="J112" i="2"/>
  <c r="G112" i="2"/>
  <c r="K112" i="2" s="1"/>
  <c r="F112" i="2"/>
  <c r="J111" i="2"/>
  <c r="G111" i="2"/>
  <c r="F111" i="2"/>
  <c r="J110" i="2"/>
  <c r="G110" i="2"/>
  <c r="K110" i="2" s="1"/>
  <c r="F110" i="2"/>
  <c r="J109" i="2"/>
  <c r="G109" i="2"/>
  <c r="K109" i="2" s="1"/>
  <c r="F109" i="2"/>
  <c r="J108" i="2"/>
  <c r="G108" i="2"/>
  <c r="K108" i="2" s="1"/>
  <c r="F108" i="2"/>
  <c r="J107" i="2"/>
  <c r="G107" i="2"/>
  <c r="F107" i="2"/>
  <c r="J106" i="2"/>
  <c r="G106" i="2"/>
  <c r="F106" i="2"/>
  <c r="J105" i="2"/>
  <c r="G105" i="2"/>
  <c r="F105" i="2"/>
  <c r="J104" i="2"/>
  <c r="G104" i="2"/>
  <c r="K104" i="2" s="1"/>
  <c r="F104" i="2"/>
  <c r="J103" i="2"/>
  <c r="G103" i="2"/>
  <c r="F103" i="2"/>
  <c r="J102" i="2"/>
  <c r="G102" i="2"/>
  <c r="F102" i="2"/>
  <c r="J101" i="2"/>
  <c r="G101" i="2"/>
  <c r="K101" i="2" s="1"/>
  <c r="F101" i="2"/>
  <c r="J100" i="2"/>
  <c r="G100" i="2"/>
  <c r="K100" i="2" s="1"/>
  <c r="F100" i="2"/>
  <c r="J99" i="2"/>
  <c r="G99" i="2"/>
  <c r="K99" i="2" s="1"/>
  <c r="F99" i="2"/>
  <c r="J98" i="2"/>
  <c r="G98" i="2"/>
  <c r="K98" i="2" s="1"/>
  <c r="F98" i="2"/>
  <c r="J97" i="2"/>
  <c r="G97" i="2"/>
  <c r="K97" i="2" s="1"/>
  <c r="F97" i="2"/>
  <c r="J96" i="2"/>
  <c r="G96" i="2"/>
  <c r="K96" i="2" s="1"/>
  <c r="F96" i="2"/>
  <c r="J95" i="2"/>
  <c r="G95" i="2"/>
  <c r="K95" i="2" s="1"/>
  <c r="F95" i="2"/>
  <c r="J94" i="2"/>
  <c r="G94" i="2"/>
  <c r="K94" i="2" s="1"/>
  <c r="F94" i="2"/>
  <c r="J93" i="2"/>
  <c r="G93" i="2"/>
  <c r="K93" i="2" s="1"/>
  <c r="F93" i="2"/>
  <c r="J92" i="2"/>
  <c r="G92" i="2"/>
  <c r="K92" i="2" s="1"/>
  <c r="F92" i="2"/>
  <c r="J91" i="2"/>
  <c r="G91" i="2"/>
  <c r="K91" i="2" s="1"/>
  <c r="F91" i="2"/>
  <c r="J90" i="2"/>
  <c r="G90" i="2"/>
  <c r="K90" i="2" s="1"/>
  <c r="F90" i="2"/>
  <c r="J89" i="2"/>
  <c r="G89" i="2"/>
  <c r="K89" i="2" s="1"/>
  <c r="F89" i="2"/>
  <c r="J88" i="2"/>
  <c r="G88" i="2"/>
  <c r="K88" i="2" s="1"/>
  <c r="F88" i="2"/>
  <c r="J87" i="2"/>
  <c r="G87" i="2"/>
  <c r="F87" i="2"/>
  <c r="J86" i="2"/>
  <c r="G86" i="2"/>
  <c r="K86" i="2" s="1"/>
  <c r="F86" i="2"/>
  <c r="J85" i="2"/>
  <c r="G85" i="2"/>
  <c r="K85" i="2" s="1"/>
  <c r="F85" i="2"/>
  <c r="J84" i="2"/>
  <c r="G84" i="2"/>
  <c r="K84" i="2" s="1"/>
  <c r="F84" i="2"/>
  <c r="J83" i="2"/>
  <c r="G83" i="2"/>
  <c r="K83" i="2" s="1"/>
  <c r="F83" i="2"/>
  <c r="J82" i="2"/>
  <c r="G82" i="2"/>
  <c r="K82" i="2" s="1"/>
  <c r="F82" i="2"/>
  <c r="J81" i="2"/>
  <c r="G81" i="2"/>
  <c r="F81" i="2"/>
  <c r="J80" i="2"/>
  <c r="G80" i="2"/>
  <c r="K80" i="2" s="1"/>
  <c r="F80" i="2"/>
  <c r="J79" i="2"/>
  <c r="G79" i="2"/>
  <c r="K79" i="2" s="1"/>
  <c r="F79" i="2"/>
  <c r="J78" i="2"/>
  <c r="G78" i="2"/>
  <c r="K78" i="2" s="1"/>
  <c r="F78" i="2"/>
  <c r="J77" i="2"/>
  <c r="G77" i="2"/>
  <c r="K77" i="2" s="1"/>
  <c r="F77" i="2"/>
  <c r="J76" i="2"/>
  <c r="G76" i="2"/>
  <c r="K76" i="2" s="1"/>
  <c r="F76" i="2"/>
  <c r="J75" i="2"/>
  <c r="G75" i="2"/>
  <c r="F75" i="2"/>
  <c r="J74" i="2"/>
  <c r="G74" i="2"/>
  <c r="K74" i="2" s="1"/>
  <c r="F74" i="2"/>
  <c r="J73" i="2"/>
  <c r="G73" i="2"/>
  <c r="K73" i="2" s="1"/>
  <c r="F73" i="2"/>
  <c r="J72" i="2"/>
  <c r="G72" i="2"/>
  <c r="K72" i="2" s="1"/>
  <c r="F72" i="2"/>
  <c r="J71" i="2"/>
  <c r="G71" i="2"/>
  <c r="K71" i="2" s="1"/>
  <c r="F71" i="2"/>
  <c r="J70" i="2"/>
  <c r="G70" i="2"/>
  <c r="F70" i="2"/>
  <c r="J69" i="2"/>
  <c r="G69" i="2"/>
  <c r="K69" i="2" s="1"/>
  <c r="F69" i="2"/>
  <c r="J68" i="2"/>
  <c r="G68" i="2"/>
  <c r="K68" i="2" s="1"/>
  <c r="F68" i="2"/>
  <c r="J67" i="2"/>
  <c r="G67" i="2"/>
  <c r="F67" i="2"/>
  <c r="J66" i="2"/>
  <c r="G66" i="2"/>
  <c r="K66" i="2" s="1"/>
  <c r="F66" i="2"/>
  <c r="J65" i="2"/>
  <c r="G65" i="2"/>
  <c r="F65" i="2"/>
  <c r="J64" i="2"/>
  <c r="G64" i="2"/>
  <c r="K64" i="2" s="1"/>
  <c r="F64" i="2"/>
  <c r="J63" i="2"/>
  <c r="G63" i="2"/>
  <c r="K63" i="2" s="1"/>
  <c r="F63" i="2"/>
  <c r="J62" i="2"/>
  <c r="G62" i="2"/>
  <c r="K62" i="2" s="1"/>
  <c r="F62" i="2"/>
  <c r="J61" i="2"/>
  <c r="G61" i="2"/>
  <c r="F61" i="2"/>
  <c r="J60" i="2"/>
  <c r="G60" i="2"/>
  <c r="K60" i="2" s="1"/>
  <c r="F60" i="2"/>
  <c r="J59" i="2"/>
  <c r="G59" i="2"/>
  <c r="F59" i="2"/>
  <c r="J58" i="2"/>
  <c r="G58" i="2"/>
  <c r="K58" i="2" s="1"/>
  <c r="F58" i="2"/>
  <c r="J57" i="2"/>
  <c r="G57" i="2"/>
  <c r="K57" i="2" s="1"/>
  <c r="F57" i="2"/>
  <c r="J56" i="2"/>
  <c r="G56" i="2"/>
  <c r="K56" i="2" s="1"/>
  <c r="F56" i="2"/>
  <c r="J55" i="2"/>
  <c r="G55" i="2"/>
  <c r="K55" i="2" s="1"/>
  <c r="F55" i="2"/>
  <c r="J54" i="2"/>
  <c r="G54" i="2"/>
  <c r="K54" i="2" s="1"/>
  <c r="F54" i="2"/>
  <c r="J53" i="2"/>
  <c r="G53" i="2"/>
  <c r="K53" i="2" s="1"/>
  <c r="F53" i="2"/>
  <c r="J52" i="2"/>
  <c r="G52" i="2"/>
  <c r="K52" i="2" s="1"/>
  <c r="F52" i="2"/>
  <c r="J51" i="2"/>
  <c r="G51" i="2"/>
  <c r="K51" i="2" s="1"/>
  <c r="F51" i="2"/>
  <c r="J50" i="2"/>
  <c r="G50" i="2"/>
  <c r="K50" i="2" s="1"/>
  <c r="F50" i="2"/>
  <c r="J49" i="2"/>
  <c r="G49" i="2"/>
  <c r="F49" i="2"/>
  <c r="J48" i="2"/>
  <c r="G48" i="2"/>
  <c r="K48" i="2" s="1"/>
  <c r="F48" i="2"/>
  <c r="J47" i="2"/>
  <c r="G47" i="2"/>
  <c r="K47" i="2" s="1"/>
  <c r="F47" i="2"/>
  <c r="J46" i="2"/>
  <c r="G46" i="2"/>
  <c r="K46" i="2" s="1"/>
  <c r="F46" i="2"/>
  <c r="J45" i="2"/>
  <c r="G45" i="2"/>
  <c r="K45" i="2" s="1"/>
  <c r="F45" i="2"/>
  <c r="J44" i="2"/>
  <c r="G44" i="2"/>
  <c r="K44" i="2" s="1"/>
  <c r="F44" i="2"/>
  <c r="J43" i="2"/>
  <c r="G43" i="2"/>
  <c r="K43" i="2" s="1"/>
  <c r="F43" i="2"/>
  <c r="J42" i="2"/>
  <c r="G42" i="2"/>
  <c r="K42" i="2" s="1"/>
  <c r="F42" i="2"/>
  <c r="J41" i="2"/>
  <c r="G41" i="2"/>
  <c r="F41" i="2"/>
  <c r="J40" i="2"/>
  <c r="G40" i="2"/>
  <c r="K40" i="2" s="1"/>
  <c r="F40" i="2"/>
  <c r="J39" i="2"/>
  <c r="G39" i="2"/>
  <c r="K39" i="2" s="1"/>
  <c r="F39" i="2"/>
  <c r="J38" i="2"/>
  <c r="G38" i="2"/>
  <c r="K38" i="2" s="1"/>
  <c r="F38" i="2"/>
  <c r="J37" i="2"/>
  <c r="G37" i="2"/>
  <c r="K37" i="2" s="1"/>
  <c r="F37" i="2"/>
  <c r="J36" i="2"/>
  <c r="G36" i="2"/>
  <c r="K36" i="2" s="1"/>
  <c r="F36" i="2"/>
  <c r="J35" i="2"/>
  <c r="G35" i="2"/>
  <c r="K35" i="2" s="1"/>
  <c r="F35" i="2"/>
  <c r="J34" i="2"/>
  <c r="G34" i="2"/>
  <c r="K34" i="2" s="1"/>
  <c r="F34" i="2"/>
  <c r="J33" i="2"/>
  <c r="G33" i="2"/>
  <c r="K33" i="2" s="1"/>
  <c r="F33" i="2"/>
  <c r="J32" i="2"/>
  <c r="G32" i="2"/>
  <c r="K32" i="2" s="1"/>
  <c r="F32" i="2"/>
  <c r="J31" i="2"/>
  <c r="G31" i="2"/>
  <c r="K31" i="2" s="1"/>
  <c r="F31" i="2"/>
  <c r="J30" i="2"/>
  <c r="G30" i="2"/>
  <c r="K30" i="2" s="1"/>
  <c r="F30" i="2"/>
  <c r="J29" i="2"/>
  <c r="G29" i="2"/>
  <c r="K29" i="2" s="1"/>
  <c r="F29" i="2"/>
  <c r="J28" i="2"/>
  <c r="G28" i="2"/>
  <c r="K28" i="2" s="1"/>
  <c r="F28" i="2"/>
  <c r="J27" i="2"/>
  <c r="G27" i="2"/>
  <c r="K27" i="2" s="1"/>
  <c r="F27" i="2"/>
  <c r="J26" i="2"/>
  <c r="G26" i="2"/>
  <c r="K26" i="2" s="1"/>
  <c r="F26" i="2"/>
  <c r="J25" i="2"/>
  <c r="G25" i="2"/>
  <c r="F25" i="2"/>
  <c r="J24" i="2"/>
  <c r="G24" i="2"/>
  <c r="K24" i="2" s="1"/>
  <c r="F24" i="2"/>
  <c r="J23" i="2"/>
  <c r="G23" i="2"/>
  <c r="K23" i="2" s="1"/>
  <c r="F23" i="2"/>
  <c r="J22" i="2"/>
  <c r="G22" i="2"/>
  <c r="K22" i="2" s="1"/>
  <c r="F22" i="2"/>
  <c r="J21" i="2"/>
  <c r="G21" i="2"/>
  <c r="K21" i="2" s="1"/>
  <c r="F21" i="2"/>
  <c r="J20" i="2"/>
  <c r="G20" i="2"/>
  <c r="K20" i="2" s="1"/>
  <c r="F20" i="2"/>
  <c r="J19" i="2"/>
  <c r="G19" i="2"/>
  <c r="K19" i="2" s="1"/>
  <c r="F19" i="2"/>
  <c r="J18" i="2"/>
  <c r="G18" i="2"/>
  <c r="K18" i="2" s="1"/>
  <c r="F18" i="2"/>
  <c r="J17" i="2"/>
  <c r="G17" i="2"/>
  <c r="K17" i="2" s="1"/>
  <c r="F17" i="2"/>
  <c r="J16" i="2"/>
  <c r="G16" i="2"/>
  <c r="F16" i="2"/>
  <c r="J15" i="2"/>
  <c r="G15" i="2"/>
  <c r="F15" i="2"/>
  <c r="J14" i="2"/>
  <c r="G14" i="2"/>
  <c r="K14" i="2" s="1"/>
  <c r="F14" i="2"/>
  <c r="J13" i="2"/>
  <c r="G13" i="2"/>
  <c r="K13" i="2" s="1"/>
  <c r="F13" i="2"/>
  <c r="J12" i="2"/>
  <c r="G12" i="2"/>
  <c r="F12" i="2"/>
  <c r="J11" i="2"/>
  <c r="G11" i="2"/>
  <c r="F11" i="2"/>
  <c r="J10" i="2"/>
  <c r="G10" i="2"/>
  <c r="K10" i="2" s="1"/>
  <c r="F10" i="2"/>
  <c r="J9" i="2"/>
  <c r="G9" i="2"/>
  <c r="K9" i="2" s="1"/>
  <c r="F9" i="2"/>
  <c r="J8" i="2"/>
  <c r="G8" i="2"/>
  <c r="K8" i="2" s="1"/>
  <c r="F8" i="2"/>
  <c r="J7" i="2"/>
  <c r="G7" i="2"/>
  <c r="F7" i="2"/>
  <c r="J6" i="2"/>
  <c r="G6" i="2"/>
  <c r="F6" i="2"/>
  <c r="M5" i="2"/>
  <c r="J5" i="2"/>
  <c r="G5" i="2"/>
  <c r="F5" i="2"/>
  <c r="J4" i="2"/>
  <c r="G4" i="2"/>
  <c r="F4" i="2"/>
  <c r="J3" i="2"/>
  <c r="G3" i="2"/>
  <c r="K3" i="2" s="1"/>
  <c r="F3" i="2"/>
  <c r="H735" i="2" l="1"/>
  <c r="I735" i="2" s="1"/>
  <c r="H334" i="2"/>
  <c r="I334" i="2" s="1"/>
  <c r="H601" i="2"/>
  <c r="I601" i="2" s="1"/>
  <c r="H61" i="2"/>
  <c r="I61" i="2" s="1"/>
  <c r="H765" i="2"/>
  <c r="I765" i="2" s="1"/>
  <c r="H822" i="2"/>
  <c r="I822" i="2" s="1"/>
  <c r="H762" i="2"/>
  <c r="I762" i="2" s="1"/>
  <c r="H20" i="2"/>
  <c r="I20" i="2" s="1"/>
  <c r="H329" i="2"/>
  <c r="I329" i="2" s="1"/>
  <c r="H242" i="2"/>
  <c r="I242" i="2" s="1"/>
  <c r="H740" i="2"/>
  <c r="I740" i="2" s="1"/>
  <c r="H785" i="2"/>
  <c r="I785" i="2" s="1"/>
  <c r="H801" i="2"/>
  <c r="I801" i="2" s="1"/>
  <c r="H796" i="2"/>
  <c r="I796" i="2" s="1"/>
  <c r="H26" i="3"/>
  <c r="I26" i="3" s="1"/>
  <c r="H358" i="2"/>
  <c r="I358" i="2" s="1"/>
  <c r="H409" i="2"/>
  <c r="I409" i="2" s="1"/>
  <c r="H224" i="2"/>
  <c r="I224" i="2" s="1"/>
  <c r="H739" i="2"/>
  <c r="I739" i="2" s="1"/>
  <c r="H267" i="2"/>
  <c r="I267" i="2" s="1"/>
  <c r="H394" i="2"/>
  <c r="I394" i="2" s="1"/>
  <c r="H497" i="2"/>
  <c r="I497" i="2" s="1"/>
  <c r="H373" i="2"/>
  <c r="I373" i="2" s="1"/>
  <c r="H10" i="2"/>
  <c r="I10" i="2" s="1"/>
  <c r="H103" i="2"/>
  <c r="I103" i="2" s="1"/>
  <c r="H849" i="2"/>
  <c r="I849" i="2" s="1"/>
  <c r="H290" i="2"/>
  <c r="I290" i="2" s="1"/>
  <c r="H96" i="2"/>
  <c r="I96" i="2" s="1"/>
  <c r="H112" i="2"/>
  <c r="I112" i="2" s="1"/>
  <c r="H128" i="2"/>
  <c r="I128" i="2" s="1"/>
  <c r="H133" i="2"/>
  <c r="I133" i="2" s="1"/>
  <c r="H141" i="2"/>
  <c r="I141" i="2" s="1"/>
  <c r="H465" i="2"/>
  <c r="I465" i="2" s="1"/>
  <c r="H289" i="2"/>
  <c r="I289" i="2" s="1"/>
  <c r="H333" i="2"/>
  <c r="I333" i="2" s="1"/>
  <c r="H529" i="2"/>
  <c r="I529" i="2" s="1"/>
  <c r="H545" i="2"/>
  <c r="I545" i="2" s="1"/>
  <c r="H550" i="2"/>
  <c r="I550" i="2" s="1"/>
  <c r="H574" i="2"/>
  <c r="I574" i="2" s="1"/>
  <c r="H656" i="2"/>
  <c r="I656" i="2" s="1"/>
  <c r="H688" i="2"/>
  <c r="I688" i="2" s="1"/>
  <c r="H720" i="2"/>
  <c r="I720" i="2" s="1"/>
  <c r="H53" i="2"/>
  <c r="I53" i="2" s="1"/>
  <c r="H206" i="2"/>
  <c r="I206" i="2" s="1"/>
  <c r="K242" i="2"/>
  <c r="H309" i="2"/>
  <c r="I309" i="2" s="1"/>
  <c r="H314" i="2"/>
  <c r="I314" i="2" s="1"/>
  <c r="H461" i="2"/>
  <c r="I461" i="2" s="1"/>
  <c r="H506" i="2"/>
  <c r="I506" i="2" s="1"/>
  <c r="H548" i="2"/>
  <c r="I548" i="2" s="1"/>
  <c r="H733" i="2"/>
  <c r="I733" i="2" s="1"/>
  <c r="H741" i="2"/>
  <c r="I741" i="2" s="1"/>
  <c r="H744" i="2"/>
  <c r="I744" i="2" s="1"/>
  <c r="H172" i="2"/>
  <c r="I172" i="2" s="1"/>
  <c r="H220" i="2"/>
  <c r="I220" i="2" s="1"/>
  <c r="H299" i="2"/>
  <c r="I299" i="2" s="1"/>
  <c r="H173" i="2"/>
  <c r="I173" i="2" s="1"/>
  <c r="K103" i="2"/>
  <c r="H446" i="2"/>
  <c r="I446" i="2" s="1"/>
  <c r="H470" i="2"/>
  <c r="I470" i="2" s="1"/>
  <c r="H597" i="2"/>
  <c r="I597" i="2" s="1"/>
  <c r="H803" i="2"/>
  <c r="I803" i="2" s="1"/>
  <c r="H848" i="2"/>
  <c r="I848" i="2" s="1"/>
  <c r="H33" i="3"/>
  <c r="I33" i="3" s="1"/>
  <c r="H689" i="2"/>
  <c r="I689" i="2" s="1"/>
  <c r="H786" i="2"/>
  <c r="I786" i="2" s="1"/>
  <c r="H14" i="2"/>
  <c r="I14" i="2" s="1"/>
  <c r="H27" i="2"/>
  <c r="I27" i="2" s="1"/>
  <c r="H40" i="2"/>
  <c r="I40" i="2" s="1"/>
  <c r="H129" i="2"/>
  <c r="I129" i="2" s="1"/>
  <c r="H216" i="2"/>
  <c r="I216" i="2" s="1"/>
  <c r="K358" i="2"/>
  <c r="H366" i="2"/>
  <c r="I366" i="2" s="1"/>
  <c r="H437" i="2"/>
  <c r="I437" i="2" s="1"/>
  <c r="H476" i="2"/>
  <c r="I476" i="2" s="1"/>
  <c r="H481" i="2"/>
  <c r="I481" i="2" s="1"/>
  <c r="H747" i="2"/>
  <c r="I747" i="2" s="1"/>
  <c r="H805" i="2"/>
  <c r="I805" i="2" s="1"/>
  <c r="H669" i="2"/>
  <c r="I669" i="2" s="1"/>
  <c r="H737" i="2"/>
  <c r="I737" i="2" s="1"/>
  <c r="H853" i="2"/>
  <c r="I853" i="2" s="1"/>
  <c r="H861" i="2"/>
  <c r="I861" i="2" s="1"/>
  <c r="H585" i="2"/>
  <c r="I585" i="2" s="1"/>
  <c r="H26" i="2"/>
  <c r="I26" i="2" s="1"/>
  <c r="H65" i="2"/>
  <c r="I65" i="2" s="1"/>
  <c r="H298" i="2"/>
  <c r="I298" i="2" s="1"/>
  <c r="H402" i="2"/>
  <c r="I402" i="2" s="1"/>
  <c r="K409" i="2"/>
  <c r="H777" i="2"/>
  <c r="I777" i="2" s="1"/>
  <c r="H817" i="2"/>
  <c r="I817" i="2" s="1"/>
  <c r="H846" i="2"/>
  <c r="I846" i="2" s="1"/>
  <c r="H337" i="2"/>
  <c r="I337" i="2" s="1"/>
  <c r="H353" i="2"/>
  <c r="I353" i="2" s="1"/>
  <c r="H392" i="2"/>
  <c r="I392" i="2" s="1"/>
  <c r="H418" i="2"/>
  <c r="I418" i="2" s="1"/>
  <c r="H496" i="2"/>
  <c r="I496" i="2" s="1"/>
  <c r="H533" i="2"/>
  <c r="I533" i="2" s="1"/>
  <c r="H636" i="2"/>
  <c r="I636" i="2" s="1"/>
  <c r="H743" i="2"/>
  <c r="I743" i="2" s="1"/>
  <c r="H783" i="2"/>
  <c r="I783" i="2" s="1"/>
  <c r="H369" i="2"/>
  <c r="I369" i="2" s="1"/>
  <c r="H422" i="2"/>
  <c r="I422" i="2" s="1"/>
  <c r="H450" i="2"/>
  <c r="I450" i="2" s="1"/>
  <c r="H517" i="2"/>
  <c r="I517" i="2" s="1"/>
  <c r="H540" i="2"/>
  <c r="I540" i="2" s="1"/>
  <c r="H676" i="2"/>
  <c r="I676" i="2" s="1"/>
  <c r="H691" i="2"/>
  <c r="I691" i="2" s="1"/>
  <c r="H693" i="2"/>
  <c r="I693" i="2" s="1"/>
  <c r="H711" i="2"/>
  <c r="I711" i="2" s="1"/>
  <c r="H721" i="2"/>
  <c r="I721" i="2" s="1"/>
  <c r="H751" i="2"/>
  <c r="I751" i="2" s="1"/>
  <c r="H829" i="2"/>
  <c r="I829" i="2" s="1"/>
  <c r="H857" i="2"/>
  <c r="I857" i="2" s="1"/>
  <c r="H867" i="2"/>
  <c r="I867" i="2" s="1"/>
  <c r="H9" i="3"/>
  <c r="I9" i="3" s="1"/>
  <c r="H17" i="3"/>
  <c r="I17" i="3" s="1"/>
  <c r="H55" i="2"/>
  <c r="I55" i="2" s="1"/>
  <c r="H163" i="2"/>
  <c r="I163" i="2" s="1"/>
  <c r="H189" i="2"/>
  <c r="I189" i="2" s="1"/>
  <c r="H202" i="2"/>
  <c r="I202" i="2" s="1"/>
  <c r="H30" i="2"/>
  <c r="I30" i="2" s="1"/>
  <c r="H48" i="2"/>
  <c r="I48" i="2" s="1"/>
  <c r="H66" i="2"/>
  <c r="I66" i="2" s="1"/>
  <c r="H79" i="2"/>
  <c r="I79" i="2" s="1"/>
  <c r="H97" i="2"/>
  <c r="I97" i="2" s="1"/>
  <c r="H20" i="3"/>
  <c r="I20" i="3" s="1"/>
  <c r="H218" i="2"/>
  <c r="I218" i="2" s="1"/>
  <c r="H238" i="2"/>
  <c r="I238" i="2" s="1"/>
  <c r="H423" i="2"/>
  <c r="I423" i="2" s="1"/>
  <c r="H473" i="2"/>
  <c r="I473" i="2" s="1"/>
  <c r="H510" i="2"/>
  <c r="I510" i="2" s="1"/>
  <c r="K517" i="2"/>
  <c r="H530" i="2"/>
  <c r="I530" i="2" s="1"/>
  <c r="H566" i="2"/>
  <c r="I566" i="2" s="1"/>
  <c r="H589" i="2"/>
  <c r="I589" i="2" s="1"/>
  <c r="H594" i="2"/>
  <c r="I594" i="2" s="1"/>
  <c r="H607" i="2"/>
  <c r="I607" i="2" s="1"/>
  <c r="H630" i="2"/>
  <c r="I630" i="2" s="1"/>
  <c r="H732" i="2"/>
  <c r="I732" i="2" s="1"/>
  <c r="H775" i="2"/>
  <c r="I775" i="2" s="1"/>
  <c r="H855" i="2"/>
  <c r="I855" i="2" s="1"/>
  <c r="H198" i="2"/>
  <c r="I198" i="2" s="1"/>
  <c r="K741" i="2"/>
  <c r="H59" i="2"/>
  <c r="I59" i="2" s="1"/>
  <c r="K61" i="2"/>
  <c r="H175" i="2"/>
  <c r="I175" i="2" s="1"/>
  <c r="H274" i="2"/>
  <c r="I274" i="2" s="1"/>
  <c r="H406" i="2"/>
  <c r="I406" i="2" s="1"/>
  <c r="H421" i="2"/>
  <c r="I421" i="2" s="1"/>
  <c r="H501" i="2"/>
  <c r="I501" i="2" s="1"/>
  <c r="H541" i="2"/>
  <c r="I541" i="2" s="1"/>
  <c r="K589" i="2"/>
  <c r="H641" i="2"/>
  <c r="I641" i="2" s="1"/>
  <c r="H694" i="2"/>
  <c r="I694" i="2" s="1"/>
  <c r="H730" i="2"/>
  <c r="I730" i="2" s="1"/>
  <c r="H768" i="2"/>
  <c r="I768" i="2" s="1"/>
  <c r="H10" i="3"/>
  <c r="I10" i="3" s="1"/>
  <c r="H7" i="2"/>
  <c r="I7" i="2" s="1"/>
  <c r="H62" i="2"/>
  <c r="I62" i="2" s="1"/>
  <c r="H67" i="2"/>
  <c r="I67" i="2" s="1"/>
  <c r="H310" i="2"/>
  <c r="I310" i="2" s="1"/>
  <c r="H317" i="2"/>
  <c r="I317" i="2" s="1"/>
  <c r="H466" i="2"/>
  <c r="I466" i="2" s="1"/>
  <c r="H486" i="2"/>
  <c r="I486" i="2" s="1"/>
  <c r="H114" i="2"/>
  <c r="I114" i="2" s="1"/>
  <c r="H226" i="2"/>
  <c r="I226" i="2" s="1"/>
  <c r="H265" i="2"/>
  <c r="I265" i="2" s="1"/>
  <c r="H285" i="2"/>
  <c r="I285" i="2" s="1"/>
  <c r="H346" i="2"/>
  <c r="I346" i="2" s="1"/>
  <c r="H400" i="2"/>
  <c r="I400" i="2" s="1"/>
  <c r="H457" i="2"/>
  <c r="I457" i="2" s="1"/>
  <c r="H489" i="2"/>
  <c r="I489" i="2" s="1"/>
  <c r="H565" i="2"/>
  <c r="I565" i="2" s="1"/>
  <c r="H588" i="2"/>
  <c r="I588" i="2" s="1"/>
  <c r="H590" i="2"/>
  <c r="I590" i="2" s="1"/>
  <c r="H616" i="2"/>
  <c r="I616" i="2" s="1"/>
  <c r="H685" i="2"/>
  <c r="I685" i="2" s="1"/>
  <c r="H690" i="2"/>
  <c r="I690" i="2" s="1"/>
  <c r="H779" i="2"/>
  <c r="I779" i="2" s="1"/>
  <c r="H293" i="2"/>
  <c r="I293" i="2" s="1"/>
  <c r="K4" i="2"/>
  <c r="H4" i="2"/>
  <c r="I4" i="2" s="1"/>
  <c r="H80" i="2"/>
  <c r="I80" i="2" s="1"/>
  <c r="H393" i="2"/>
  <c r="I393" i="2" s="1"/>
  <c r="H561" i="2"/>
  <c r="I561" i="2" s="1"/>
  <c r="K561" i="2"/>
  <c r="H47" i="2"/>
  <c r="I47" i="2" s="1"/>
  <c r="H157" i="2"/>
  <c r="I157" i="2" s="1"/>
  <c r="K157" i="2"/>
  <c r="H477" i="2"/>
  <c r="I477" i="2" s="1"/>
  <c r="K477" i="2"/>
  <c r="K518" i="2"/>
  <c r="H518" i="2"/>
  <c r="I518" i="2" s="1"/>
  <c r="K525" i="2"/>
  <c r="H525" i="2"/>
  <c r="I525" i="2" s="1"/>
  <c r="H22" i="2"/>
  <c r="I22" i="2" s="1"/>
  <c r="H50" i="2"/>
  <c r="I50" i="2" s="1"/>
  <c r="H234" i="2"/>
  <c r="I234" i="2" s="1"/>
  <c r="K234" i="2"/>
  <c r="K87" i="2"/>
  <c r="H87" i="2"/>
  <c r="I87" i="2" s="1"/>
  <c r="H137" i="2"/>
  <c r="I137" i="2" s="1"/>
  <c r="K137" i="2"/>
  <c r="K554" i="2"/>
  <c r="H554" i="2"/>
  <c r="I554" i="2" s="1"/>
  <c r="H210" i="2"/>
  <c r="I210" i="2" s="1"/>
  <c r="K210" i="2"/>
  <c r="K302" i="2"/>
  <c r="H302" i="2"/>
  <c r="I302" i="2" s="1"/>
  <c r="H125" i="2"/>
  <c r="I125" i="2" s="1"/>
  <c r="K125" i="2"/>
  <c r="K338" i="2"/>
  <c r="H338" i="2"/>
  <c r="I338" i="2" s="1"/>
  <c r="K381" i="2"/>
  <c r="H381" i="2"/>
  <c r="I381" i="2" s="1"/>
  <c r="K490" i="2"/>
  <c r="H490" i="2"/>
  <c r="I490" i="2" s="1"/>
  <c r="K497" i="2"/>
  <c r="K294" i="2"/>
  <c r="H294" i="2"/>
  <c r="I294" i="2" s="1"/>
  <c r="K253" i="2"/>
  <c r="H253" i="2"/>
  <c r="I253" i="2" s="1"/>
  <c r="H414" i="2"/>
  <c r="I414" i="2" s="1"/>
  <c r="K414" i="2"/>
  <c r="H70" i="2"/>
  <c r="I70" i="2" s="1"/>
  <c r="H95" i="2"/>
  <c r="I95" i="2" s="1"/>
  <c r="H110" i="2"/>
  <c r="I110" i="2" s="1"/>
  <c r="H246" i="2"/>
  <c r="I246" i="2" s="1"/>
  <c r="H251" i="2"/>
  <c r="I251" i="2" s="1"/>
  <c r="K265" i="2"/>
  <c r="H273" i="2"/>
  <c r="I273" i="2" s="1"/>
  <c r="K289" i="2"/>
  <c r="H350" i="2"/>
  <c r="I350" i="2" s="1"/>
  <c r="H359" i="2"/>
  <c r="I359" i="2" s="1"/>
  <c r="K373" i="2"/>
  <c r="H398" i="2"/>
  <c r="I398" i="2" s="1"/>
  <c r="K422" i="2"/>
  <c r="H428" i="2"/>
  <c r="I428" i="2" s="1"/>
  <c r="H433" i="2"/>
  <c r="I433" i="2" s="1"/>
  <c r="H442" i="2"/>
  <c r="I442" i="2" s="1"/>
  <c r="H571" i="2"/>
  <c r="I571" i="2" s="1"/>
  <c r="H573" i="2"/>
  <c r="I573" i="2" s="1"/>
  <c r="H623" i="2"/>
  <c r="I623" i="2" s="1"/>
  <c r="H645" i="2"/>
  <c r="I645" i="2" s="1"/>
  <c r="H647" i="2"/>
  <c r="I647" i="2" s="1"/>
  <c r="H649" i="2"/>
  <c r="I649" i="2" s="1"/>
  <c r="H651" i="2"/>
  <c r="I651" i="2" s="1"/>
  <c r="H696" i="2"/>
  <c r="I696" i="2" s="1"/>
  <c r="H705" i="2"/>
  <c r="I705" i="2" s="1"/>
  <c r="H717" i="2"/>
  <c r="I717" i="2" s="1"/>
  <c r="K721" i="2"/>
  <c r="H748" i="2"/>
  <c r="I748" i="2" s="1"/>
  <c r="H784" i="2"/>
  <c r="I784" i="2" s="1"/>
  <c r="H835" i="2"/>
  <c r="I835" i="2" s="1"/>
  <c r="H858" i="2"/>
  <c r="I858" i="2" s="1"/>
  <c r="H19" i="3"/>
  <c r="I19" i="3" s="1"/>
  <c r="H31" i="3"/>
  <c r="I31" i="3" s="1"/>
  <c r="K733" i="2"/>
  <c r="H18" i="2"/>
  <c r="I18" i="2" s="1"/>
  <c r="H33" i="2"/>
  <c r="I33" i="2" s="1"/>
  <c r="H63" i="2"/>
  <c r="I63" i="2" s="1"/>
  <c r="H98" i="2"/>
  <c r="I98" i="2" s="1"/>
  <c r="H105" i="2"/>
  <c r="I105" i="2" s="1"/>
  <c r="H130" i="2"/>
  <c r="I130" i="2" s="1"/>
  <c r="H150" i="2"/>
  <c r="I150" i="2" s="1"/>
  <c r="H192" i="2"/>
  <c r="I192" i="2" s="1"/>
  <c r="H227" i="2"/>
  <c r="I227" i="2" s="1"/>
  <c r="K246" i="2"/>
  <c r="H249" i="2"/>
  <c r="I249" i="2" s="1"/>
  <c r="H271" i="2"/>
  <c r="I271" i="2" s="1"/>
  <c r="H281" i="2"/>
  <c r="I281" i="2" s="1"/>
  <c r="H305" i="2"/>
  <c r="I305" i="2" s="1"/>
  <c r="H374" i="2"/>
  <c r="I374" i="2" s="1"/>
  <c r="H379" i="2"/>
  <c r="I379" i="2" s="1"/>
  <c r="H401" i="2"/>
  <c r="I401" i="2" s="1"/>
  <c r="K433" i="2"/>
  <c r="H438" i="2"/>
  <c r="I438" i="2" s="1"/>
  <c r="H445" i="2"/>
  <c r="I445" i="2" s="1"/>
  <c r="H482" i="2"/>
  <c r="I482" i="2" s="1"/>
  <c r="H502" i="2"/>
  <c r="I502" i="2" s="1"/>
  <c r="H578" i="2"/>
  <c r="I578" i="2" s="1"/>
  <c r="H605" i="2"/>
  <c r="I605" i="2" s="1"/>
  <c r="H609" i="2"/>
  <c r="I609" i="2" s="1"/>
  <c r="H612" i="2"/>
  <c r="I612" i="2" s="1"/>
  <c r="H654" i="2"/>
  <c r="I654" i="2" s="1"/>
  <c r="H657" i="2"/>
  <c r="I657" i="2" s="1"/>
  <c r="H664" i="2"/>
  <c r="I664" i="2" s="1"/>
  <c r="H681" i="2"/>
  <c r="I681" i="2" s="1"/>
  <c r="H687" i="2"/>
  <c r="I687" i="2" s="1"/>
  <c r="H773" i="2"/>
  <c r="I773" i="2" s="1"/>
  <c r="H797" i="2"/>
  <c r="I797" i="2" s="1"/>
  <c r="H847" i="2"/>
  <c r="I847" i="2" s="1"/>
  <c r="H854" i="2"/>
  <c r="I854" i="2" s="1"/>
  <c r="H6" i="3"/>
  <c r="I6" i="3" s="1"/>
  <c r="H22" i="3"/>
  <c r="I22" i="3" s="1"/>
  <c r="K541" i="2"/>
  <c r="K689" i="2"/>
  <c r="K777" i="2"/>
  <c r="K849" i="2"/>
  <c r="K10" i="3"/>
  <c r="H16" i="2"/>
  <c r="I16" i="2" s="1"/>
  <c r="H41" i="2"/>
  <c r="I41" i="2" s="1"/>
  <c r="H74" i="2"/>
  <c r="I74" i="2" s="1"/>
  <c r="H91" i="2"/>
  <c r="I91" i="2" s="1"/>
  <c r="H126" i="2"/>
  <c r="I126" i="2" s="1"/>
  <c r="H158" i="2"/>
  <c r="I158" i="2" s="1"/>
  <c r="H233" i="2"/>
  <c r="I233" i="2" s="1"/>
  <c r="H250" i="2"/>
  <c r="I250" i="2" s="1"/>
  <c r="H349" i="2"/>
  <c r="I349" i="2" s="1"/>
  <c r="K374" i="2"/>
  <c r="H377" i="2"/>
  <c r="I377" i="2" s="1"/>
  <c r="H410" i="2"/>
  <c r="I410" i="2" s="1"/>
  <c r="H415" i="2"/>
  <c r="I415" i="2" s="1"/>
  <c r="H441" i="2"/>
  <c r="I441" i="2" s="1"/>
  <c r="H453" i="2"/>
  <c r="I453" i="2" s="1"/>
  <c r="H464" i="2"/>
  <c r="I464" i="2" s="1"/>
  <c r="H505" i="2"/>
  <c r="I505" i="2" s="1"/>
  <c r="H521" i="2"/>
  <c r="I521" i="2" s="1"/>
  <c r="H570" i="2"/>
  <c r="I570" i="2" s="1"/>
  <c r="H584" i="2"/>
  <c r="I584" i="2" s="1"/>
  <c r="H648" i="2"/>
  <c r="I648" i="2" s="1"/>
  <c r="H660" i="2"/>
  <c r="I660" i="2" s="1"/>
  <c r="H675" i="2"/>
  <c r="I675" i="2" s="1"/>
  <c r="H677" i="2"/>
  <c r="I677" i="2" s="1"/>
  <c r="H745" i="2"/>
  <c r="I745" i="2" s="1"/>
  <c r="H764" i="2"/>
  <c r="I764" i="2" s="1"/>
  <c r="H814" i="2"/>
  <c r="I814" i="2" s="1"/>
  <c r="H826" i="2"/>
  <c r="I826" i="2" s="1"/>
  <c r="H850" i="2"/>
  <c r="I850" i="2" s="1"/>
  <c r="H32" i="3"/>
  <c r="I32" i="3" s="1"/>
  <c r="H146" i="2"/>
  <c r="I146" i="2" s="1"/>
  <c r="H149" i="2"/>
  <c r="I149" i="2" s="1"/>
  <c r="H186" i="2"/>
  <c r="I186" i="2" s="1"/>
  <c r="H195" i="2"/>
  <c r="I195" i="2" s="1"/>
  <c r="H248" i="2"/>
  <c r="I248" i="2" s="1"/>
  <c r="H270" i="2"/>
  <c r="I270" i="2" s="1"/>
  <c r="H282" i="2"/>
  <c r="I282" i="2" s="1"/>
  <c r="H354" i="2"/>
  <c r="I354" i="2" s="1"/>
  <c r="H378" i="2"/>
  <c r="I378" i="2" s="1"/>
  <c r="H397" i="2"/>
  <c r="I397" i="2" s="1"/>
  <c r="H430" i="2"/>
  <c r="I430" i="2" s="1"/>
  <c r="H462" i="2"/>
  <c r="I462" i="2" s="1"/>
  <c r="H469" i="2"/>
  <c r="I469" i="2" s="1"/>
  <c r="H526" i="2"/>
  <c r="I526" i="2" s="1"/>
  <c r="H582" i="2"/>
  <c r="I582" i="2" s="1"/>
  <c r="H653" i="2"/>
  <c r="I653" i="2" s="1"/>
  <c r="H697" i="2"/>
  <c r="I697" i="2" s="1"/>
  <c r="H709" i="2"/>
  <c r="I709" i="2" s="1"/>
  <c r="H731" i="2"/>
  <c r="I731" i="2" s="1"/>
  <c r="H767" i="2"/>
  <c r="I767" i="2" s="1"/>
  <c r="H788" i="2"/>
  <c r="I788" i="2" s="1"/>
  <c r="H793" i="2"/>
  <c r="I793" i="2" s="1"/>
  <c r="H815" i="2"/>
  <c r="I815" i="2" s="1"/>
  <c r="H842" i="2"/>
  <c r="I842" i="2" s="1"/>
  <c r="M38" i="3"/>
  <c r="K608" i="2"/>
  <c r="H608" i="2"/>
  <c r="I608" i="2" s="1"/>
  <c r="K615" i="2"/>
  <c r="H615" i="2"/>
  <c r="I615" i="2" s="1"/>
  <c r="K701" i="2"/>
  <c r="H701" i="2"/>
  <c r="I701" i="2" s="1"/>
  <c r="H326" i="2"/>
  <c r="I326" i="2" s="1"/>
  <c r="H362" i="2"/>
  <c r="I362" i="2" s="1"/>
  <c r="H390" i="2"/>
  <c r="I390" i="2" s="1"/>
  <c r="H413" i="2"/>
  <c r="I413" i="2" s="1"/>
  <c r="K413" i="2"/>
  <c r="H417" i="2"/>
  <c r="I417" i="2" s="1"/>
  <c r="K426" i="2"/>
  <c r="H426" i="2"/>
  <c r="I426" i="2" s="1"/>
  <c r="H534" i="2"/>
  <c r="I534" i="2" s="1"/>
  <c r="K713" i="2"/>
  <c r="H713" i="2"/>
  <c r="I713" i="2" s="1"/>
  <c r="H729" i="2"/>
  <c r="I729" i="2" s="1"/>
  <c r="H39" i="2"/>
  <c r="I39" i="2" s="1"/>
  <c r="H557" i="2"/>
  <c r="I557" i="2" s="1"/>
  <c r="K557" i="2"/>
  <c r="K569" i="2"/>
  <c r="H569" i="2"/>
  <c r="I569" i="2" s="1"/>
  <c r="H620" i="2"/>
  <c r="I620" i="2" s="1"/>
  <c r="K620" i="2"/>
  <c r="K684" i="2"/>
  <c r="H684" i="2"/>
  <c r="I684" i="2" s="1"/>
  <c r="H204" i="2"/>
  <c r="I204" i="2" s="1"/>
  <c r="H6" i="2"/>
  <c r="I6" i="2" s="1"/>
  <c r="H405" i="2"/>
  <c r="I405" i="2" s="1"/>
  <c r="H54" i="2"/>
  <c r="I54" i="2" s="1"/>
  <c r="H45" i="2"/>
  <c r="I45" i="2" s="1"/>
  <c r="H119" i="2"/>
  <c r="I119" i="2" s="1"/>
  <c r="H213" i="2"/>
  <c r="I213" i="2" s="1"/>
  <c r="K213" i="2"/>
  <c r="H262" i="2"/>
  <c r="I262" i="2" s="1"/>
  <c r="K198" i="2"/>
  <c r="K249" i="2"/>
  <c r="H269" i="2"/>
  <c r="I269" i="2" s="1"/>
  <c r="H341" i="2"/>
  <c r="I341" i="2" s="1"/>
  <c r="H81" i="2"/>
  <c r="I81" i="2" s="1"/>
  <c r="K81" i="2"/>
  <c r="K102" i="2"/>
  <c r="H102" i="2"/>
  <c r="I102" i="2" s="1"/>
  <c r="H160" i="2"/>
  <c r="I160" i="2" s="1"/>
  <c r="K201" i="2"/>
  <c r="H201" i="2"/>
  <c r="I201" i="2" s="1"/>
  <c r="H286" i="2"/>
  <c r="I286" i="2" s="1"/>
  <c r="K298" i="2"/>
  <c r="H673" i="2"/>
  <c r="I673" i="2" s="1"/>
  <c r="H789" i="2"/>
  <c r="I789" i="2" s="1"/>
  <c r="K789" i="2"/>
  <c r="K70" i="2"/>
  <c r="H77" i="2"/>
  <c r="I77" i="2" s="1"/>
  <c r="H122" i="2"/>
  <c r="I122" i="2" s="1"/>
  <c r="K140" i="2"/>
  <c r="H140" i="2"/>
  <c r="I140" i="2" s="1"/>
  <c r="H261" i="2"/>
  <c r="I261" i="2" s="1"/>
  <c r="H325" i="2"/>
  <c r="I325" i="2" s="1"/>
  <c r="K333" i="2"/>
  <c r="K357" i="2"/>
  <c r="H357" i="2"/>
  <c r="I357" i="2" s="1"/>
  <c r="H389" i="2"/>
  <c r="I389" i="2" s="1"/>
  <c r="K397" i="2"/>
  <c r="H493" i="2"/>
  <c r="I493" i="2" s="1"/>
  <c r="K493" i="2"/>
  <c r="K509" i="2"/>
  <c r="H509" i="2"/>
  <c r="I509" i="2" s="1"/>
  <c r="H549" i="2"/>
  <c r="I549" i="2" s="1"/>
  <c r="K761" i="2"/>
  <c r="H761" i="2"/>
  <c r="I761" i="2" s="1"/>
  <c r="H794" i="2"/>
  <c r="I794" i="2" s="1"/>
  <c r="K794" i="2"/>
  <c r="H90" i="2"/>
  <c r="I90" i="2" s="1"/>
  <c r="H29" i="2"/>
  <c r="I29" i="2" s="1"/>
  <c r="K59" i="2"/>
  <c r="K65" i="2"/>
  <c r="K142" i="2"/>
  <c r="H142" i="2"/>
  <c r="I142" i="2" s="1"/>
  <c r="H245" i="2"/>
  <c r="I245" i="2" s="1"/>
  <c r="K258" i="2"/>
  <c r="H258" i="2"/>
  <c r="I258" i="2" s="1"/>
  <c r="H277" i="2"/>
  <c r="I277" i="2" s="1"/>
  <c r="K377" i="2"/>
  <c r="K386" i="2"/>
  <c r="H386" i="2"/>
  <c r="I386" i="2" s="1"/>
  <c r="H154" i="2"/>
  <c r="I154" i="2" s="1"/>
  <c r="H178" i="2"/>
  <c r="I178" i="2" s="1"/>
  <c r="H194" i="2"/>
  <c r="I194" i="2" s="1"/>
  <c r="H301" i="2"/>
  <c r="I301" i="2" s="1"/>
  <c r="H365" i="2"/>
  <c r="I365" i="2" s="1"/>
  <c r="H542" i="2"/>
  <c r="I542" i="2" s="1"/>
  <c r="K542" i="2"/>
  <c r="K725" i="2"/>
  <c r="H725" i="2"/>
  <c r="I725" i="2" s="1"/>
  <c r="K810" i="2"/>
  <c r="H810" i="2"/>
  <c r="I810" i="2" s="1"/>
  <c r="H42" i="2"/>
  <c r="I42" i="2" s="1"/>
  <c r="H93" i="2"/>
  <c r="I93" i="2" s="1"/>
  <c r="H5" i="2"/>
  <c r="I5" i="2" s="1"/>
  <c r="H11" i="2"/>
  <c r="I11" i="2" s="1"/>
  <c r="H34" i="2"/>
  <c r="I34" i="2" s="1"/>
  <c r="H46" i="2"/>
  <c r="I46" i="2" s="1"/>
  <c r="H64" i="2"/>
  <c r="I64" i="2" s="1"/>
  <c r="H75" i="2"/>
  <c r="I75" i="2" s="1"/>
  <c r="K75" i="2"/>
  <c r="H107" i="2"/>
  <c r="I107" i="2" s="1"/>
  <c r="H109" i="2"/>
  <c r="I109" i="2" s="1"/>
  <c r="H111" i="2"/>
  <c r="I111" i="2" s="1"/>
  <c r="H118" i="2"/>
  <c r="I118" i="2" s="1"/>
  <c r="H138" i="2"/>
  <c r="I138" i="2" s="1"/>
  <c r="H143" i="2"/>
  <c r="I143" i="2" s="1"/>
  <c r="H174" i="2"/>
  <c r="I174" i="2" s="1"/>
  <c r="H190" i="2"/>
  <c r="I190" i="2" s="1"/>
  <c r="H214" i="2"/>
  <c r="I214" i="2" s="1"/>
  <c r="H230" i="2"/>
  <c r="I230" i="2" s="1"/>
  <c r="H254" i="2"/>
  <c r="I254" i="2" s="1"/>
  <c r="K278" i="2"/>
  <c r="H278" i="2"/>
  <c r="I278" i="2" s="1"/>
  <c r="K286" i="2"/>
  <c r="H297" i="2"/>
  <c r="I297" i="2" s="1"/>
  <c r="K301" i="2"/>
  <c r="H318" i="2"/>
  <c r="I318" i="2" s="1"/>
  <c r="K342" i="2"/>
  <c r="H342" i="2"/>
  <c r="I342" i="2" s="1"/>
  <c r="H361" i="2"/>
  <c r="I361" i="2" s="1"/>
  <c r="K365" i="2"/>
  <c r="H382" i="2"/>
  <c r="I382" i="2" s="1"/>
  <c r="H434" i="2"/>
  <c r="I434" i="2" s="1"/>
  <c r="H458" i="2"/>
  <c r="I458" i="2" s="1"/>
  <c r="K458" i="2"/>
  <c r="H478" i="2"/>
  <c r="I478" i="2" s="1"/>
  <c r="K478" i="2"/>
  <c r="H498" i="2"/>
  <c r="I498" i="2" s="1"/>
  <c r="K538" i="2"/>
  <c r="H538" i="2"/>
  <c r="I538" i="2" s="1"/>
  <c r="K558" i="2"/>
  <c r="H558" i="2"/>
  <c r="I558" i="2" s="1"/>
  <c r="H577" i="2"/>
  <c r="I577" i="2" s="1"/>
  <c r="H586" i="2"/>
  <c r="I586" i="2" s="1"/>
  <c r="K586" i="2"/>
  <c r="K661" i="2"/>
  <c r="H661" i="2"/>
  <c r="I661" i="2" s="1"/>
  <c r="H43" i="2"/>
  <c r="I43" i="2" s="1"/>
  <c r="H106" i="2"/>
  <c r="I106" i="2" s="1"/>
  <c r="H182" i="2"/>
  <c r="I182" i="2" s="1"/>
  <c r="H169" i="2"/>
  <c r="I169" i="2" s="1"/>
  <c r="H58" i="2"/>
  <c r="I58" i="2" s="1"/>
  <c r="H113" i="2"/>
  <c r="I113" i="2" s="1"/>
  <c r="H162" i="2"/>
  <c r="I162" i="2" s="1"/>
  <c r="K553" i="2"/>
  <c r="H553" i="2"/>
  <c r="I553" i="2" s="1"/>
  <c r="H562" i="2"/>
  <c r="I562" i="2" s="1"/>
  <c r="K663" i="2"/>
  <c r="H663" i="2"/>
  <c r="I663" i="2" s="1"/>
  <c r="H15" i="2"/>
  <c r="I15" i="2" s="1"/>
  <c r="K15" i="2"/>
  <c r="K221" i="2"/>
  <c r="H221" i="2"/>
  <c r="I221" i="2" s="1"/>
  <c r="K425" i="2"/>
  <c r="H425" i="2"/>
  <c r="I425" i="2" s="1"/>
  <c r="K449" i="2"/>
  <c r="H449" i="2"/>
  <c r="I449" i="2" s="1"/>
  <c r="H485" i="2"/>
  <c r="I485" i="2" s="1"/>
  <c r="H643" i="2"/>
  <c r="I643" i="2" s="1"/>
  <c r="K643" i="2"/>
  <c r="K749" i="2"/>
  <c r="H749" i="2"/>
  <c r="I749" i="2" s="1"/>
  <c r="H766" i="2"/>
  <c r="I766" i="2" s="1"/>
  <c r="K766" i="2"/>
  <c r="H12" i="2"/>
  <c r="I12" i="2" s="1"/>
  <c r="H25" i="2"/>
  <c r="I25" i="2" s="1"/>
  <c r="H49" i="2"/>
  <c r="I49" i="2" s="1"/>
  <c r="K222" i="2"/>
  <c r="H222" i="2"/>
  <c r="I222" i="2" s="1"/>
  <c r="H23" i="2"/>
  <c r="I23" i="2" s="1"/>
  <c r="K175" i="2"/>
  <c r="K322" i="2"/>
  <c r="H322" i="2"/>
  <c r="I322" i="2" s="1"/>
  <c r="H19" i="2"/>
  <c r="I19" i="2" s="1"/>
  <c r="K49" i="2"/>
  <c r="H86" i="2"/>
  <c r="I86" i="2" s="1"/>
  <c r="K106" i="2"/>
  <c r="K6" i="2"/>
  <c r="H38" i="2"/>
  <c r="I38" i="2" s="1"/>
  <c r="K5" i="2"/>
  <c r="K11" i="2"/>
  <c r="H32" i="2"/>
  <c r="I32" i="2" s="1"/>
  <c r="H71" i="2"/>
  <c r="I71" i="2" s="1"/>
  <c r="H78" i="2"/>
  <c r="I78" i="2" s="1"/>
  <c r="K107" i="2"/>
  <c r="H123" i="2"/>
  <c r="I123" i="2" s="1"/>
  <c r="H134" i="2"/>
  <c r="I134" i="2" s="1"/>
  <c r="K143" i="2"/>
  <c r="H166" i="2"/>
  <c r="I166" i="2" s="1"/>
  <c r="H170" i="2"/>
  <c r="I170" i="2" s="1"/>
  <c r="K190" i="2"/>
  <c r="H193" i="2"/>
  <c r="I193" i="2" s="1"/>
  <c r="H239" i="2"/>
  <c r="I239" i="2" s="1"/>
  <c r="K239" i="2"/>
  <c r="K257" i="2"/>
  <c r="H257" i="2"/>
  <c r="I257" i="2" s="1"/>
  <c r="H266" i="2"/>
  <c r="I266" i="2" s="1"/>
  <c r="H300" i="2"/>
  <c r="I300" i="2" s="1"/>
  <c r="H306" i="2"/>
  <c r="I306" i="2" s="1"/>
  <c r="H313" i="2"/>
  <c r="I313" i="2" s="1"/>
  <c r="K321" i="2"/>
  <c r="H321" i="2"/>
  <c r="I321" i="2" s="1"/>
  <c r="H330" i="2"/>
  <c r="I330" i="2" s="1"/>
  <c r="H345" i="2"/>
  <c r="I345" i="2" s="1"/>
  <c r="H370" i="2"/>
  <c r="I370" i="2" s="1"/>
  <c r="K385" i="2"/>
  <c r="H385" i="2"/>
  <c r="I385" i="2" s="1"/>
  <c r="K474" i="2"/>
  <c r="H474" i="2"/>
  <c r="I474" i="2" s="1"/>
  <c r="K494" i="2"/>
  <c r="H494" i="2"/>
  <c r="I494" i="2" s="1"/>
  <c r="H514" i="2"/>
  <c r="I514" i="2" s="1"/>
  <c r="H598" i="2"/>
  <c r="I598" i="2" s="1"/>
  <c r="H757" i="2"/>
  <c r="I757" i="2" s="1"/>
  <c r="K757" i="2"/>
  <c r="H237" i="2"/>
  <c r="I237" i="2" s="1"/>
  <c r="H241" i="2"/>
  <c r="I241" i="2" s="1"/>
  <c r="H243" i="2"/>
  <c r="I243" i="2" s="1"/>
  <c r="H284" i="2"/>
  <c r="I284" i="2" s="1"/>
  <c r="H304" i="2"/>
  <c r="I304" i="2" s="1"/>
  <c r="H311" i="2"/>
  <c r="I311" i="2" s="1"/>
  <c r="H355" i="2"/>
  <c r="I355" i="2" s="1"/>
  <c r="H581" i="2"/>
  <c r="I581" i="2" s="1"/>
  <c r="K665" i="2"/>
  <c r="H665" i="2"/>
  <c r="I665" i="2" s="1"/>
  <c r="H205" i="2"/>
  <c r="I205" i="2" s="1"/>
  <c r="H209" i="2"/>
  <c r="I209" i="2" s="1"/>
  <c r="H429" i="2"/>
  <c r="I429" i="2" s="1"/>
  <c r="K513" i="2"/>
  <c r="H513" i="2"/>
  <c r="I513" i="2" s="1"/>
  <c r="H619" i="2"/>
  <c r="I619" i="2" s="1"/>
  <c r="K619" i="2"/>
  <c r="K630" i="2"/>
  <c r="H633" i="2"/>
  <c r="I633" i="2" s="1"/>
  <c r="K633" i="2"/>
  <c r="H642" i="2"/>
  <c r="I642" i="2" s="1"/>
  <c r="K642" i="2"/>
  <c r="K727" i="2"/>
  <c r="H727" i="2"/>
  <c r="I727" i="2" s="1"/>
  <c r="K792" i="2"/>
  <c r="H792" i="2"/>
  <c r="I792" i="2" s="1"/>
  <c r="H806" i="2"/>
  <c r="I806" i="2" s="1"/>
  <c r="K806" i="2"/>
  <c r="H207" i="2"/>
  <c r="I207" i="2" s="1"/>
  <c r="H225" i="2"/>
  <c r="I225" i="2" s="1"/>
  <c r="H236" i="2"/>
  <c r="I236" i="2" s="1"/>
  <c r="H240" i="2"/>
  <c r="I240" i="2" s="1"/>
  <c r="H252" i="2"/>
  <c r="I252" i="2" s="1"/>
  <c r="H336" i="2"/>
  <c r="I336" i="2" s="1"/>
  <c r="H408" i="2"/>
  <c r="I408" i="2" s="1"/>
  <c r="H454" i="2"/>
  <c r="I454" i="2" s="1"/>
  <c r="H522" i="2"/>
  <c r="I522" i="2" s="1"/>
  <c r="K522" i="2"/>
  <c r="H537" i="2"/>
  <c r="I537" i="2" s="1"/>
  <c r="H546" i="2"/>
  <c r="I546" i="2" s="1"/>
  <c r="H593" i="2"/>
  <c r="I593" i="2" s="1"/>
  <c r="H604" i="2"/>
  <c r="I604" i="2" s="1"/>
  <c r="H613" i="2"/>
  <c r="I613" i="2" s="1"/>
  <c r="K613" i="2"/>
  <c r="H629" i="2"/>
  <c r="I629" i="2" s="1"/>
  <c r="H655" i="2"/>
  <c r="I655" i="2" s="1"/>
  <c r="H680" i="2"/>
  <c r="I680" i="2" s="1"/>
  <c r="H682" i="2"/>
  <c r="I682" i="2" s="1"/>
  <c r="K682" i="2"/>
  <c r="H734" i="2"/>
  <c r="I734" i="2" s="1"/>
  <c r="H736" i="2"/>
  <c r="I736" i="2" s="1"/>
  <c r="H769" i="2"/>
  <c r="I769" i="2" s="1"/>
  <c r="H781" i="2"/>
  <c r="I781" i="2" s="1"/>
  <c r="H82" i="2"/>
  <c r="I82" i="2" s="1"/>
  <c r="H94" i="2"/>
  <c r="I94" i="2" s="1"/>
  <c r="H161" i="2"/>
  <c r="I161" i="2" s="1"/>
  <c r="H181" i="2"/>
  <c r="I181" i="2" s="1"/>
  <c r="H340" i="2"/>
  <c r="I340" i="2" s="1"/>
  <c r="K429" i="2"/>
  <c r="H753" i="2"/>
  <c r="I753" i="2" s="1"/>
  <c r="K753" i="2"/>
  <c r="H774" i="2"/>
  <c r="I774" i="2" s="1"/>
  <c r="K774" i="2"/>
  <c r="H802" i="2"/>
  <c r="I802" i="2" s="1"/>
  <c r="K802" i="2"/>
  <c r="K843" i="2"/>
  <c r="H843" i="2"/>
  <c r="I843" i="2" s="1"/>
  <c r="H519" i="2"/>
  <c r="I519" i="2" s="1"/>
  <c r="K537" i="2"/>
  <c r="K690" i="2"/>
  <c r="K694" i="2"/>
  <c r="H771" i="2"/>
  <c r="I771" i="2" s="1"/>
  <c r="H834" i="2"/>
  <c r="I834" i="2" s="1"/>
  <c r="H844" i="2"/>
  <c r="I844" i="2" s="1"/>
  <c r="H866" i="2"/>
  <c r="I866" i="2" s="1"/>
  <c r="K867" i="2"/>
  <c r="H13" i="3"/>
  <c r="I13" i="3" s="1"/>
  <c r="H23" i="3"/>
  <c r="I23" i="3" s="1"/>
  <c r="H790" i="2"/>
  <c r="I790" i="2" s="1"/>
  <c r="H828" i="2"/>
  <c r="I828" i="2" s="1"/>
  <c r="H830" i="2"/>
  <c r="I830" i="2" s="1"/>
  <c r="H838" i="2"/>
  <c r="I838" i="2" s="1"/>
  <c r="H862" i="2"/>
  <c r="I862" i="2" s="1"/>
  <c r="H7" i="3"/>
  <c r="I7" i="3" s="1"/>
  <c r="H15" i="3"/>
  <c r="I15" i="3" s="1"/>
  <c r="K762" i="2"/>
  <c r="K786" i="2"/>
  <c r="H808" i="2"/>
  <c r="I808" i="2" s="1"/>
  <c r="H818" i="2"/>
  <c r="I818" i="2" s="1"/>
  <c r="H841" i="2"/>
  <c r="I841" i="2" s="1"/>
  <c r="H845" i="2"/>
  <c r="I845" i="2" s="1"/>
  <c r="H627" i="2"/>
  <c r="I627" i="2" s="1"/>
  <c r="H742" i="2"/>
  <c r="I742" i="2" s="1"/>
  <c r="H778" i="2"/>
  <c r="I778" i="2" s="1"/>
  <c r="H14" i="3"/>
  <c r="I14" i="3" s="1"/>
  <c r="H722" i="2"/>
  <c r="I722" i="2" s="1"/>
  <c r="H724" i="2"/>
  <c r="I724" i="2" s="1"/>
  <c r="H780" i="2"/>
  <c r="I780" i="2" s="1"/>
  <c r="K808" i="2"/>
  <c r="H827" i="2"/>
  <c r="I827" i="2" s="1"/>
  <c r="H833" i="2"/>
  <c r="I833" i="2" s="1"/>
  <c r="H837" i="2"/>
  <c r="I837" i="2" s="1"/>
  <c r="H859" i="2"/>
  <c r="I859" i="2" s="1"/>
  <c r="H865" i="2"/>
  <c r="I865" i="2" s="1"/>
  <c r="H30" i="3"/>
  <c r="I30" i="3" s="1"/>
  <c r="H495" i="2"/>
  <c r="I495" i="2" s="1"/>
  <c r="H539" i="2"/>
  <c r="I539" i="2" s="1"/>
  <c r="H596" i="2"/>
  <c r="I596" i="2" s="1"/>
  <c r="K627" i="2"/>
  <c r="H637" i="2"/>
  <c r="I637" i="2" s="1"/>
  <c r="H639" i="2"/>
  <c r="I639" i="2" s="1"/>
  <c r="H668" i="2"/>
  <c r="I668" i="2" s="1"/>
  <c r="H679" i="2"/>
  <c r="I679" i="2" s="1"/>
  <c r="H706" i="2"/>
  <c r="I706" i="2" s="1"/>
  <c r="K742" i="2"/>
  <c r="H752" i="2"/>
  <c r="I752" i="2" s="1"/>
  <c r="K778" i="2"/>
  <c r="H791" i="2"/>
  <c r="I791" i="2" s="1"/>
  <c r="H799" i="2"/>
  <c r="I799" i="2" s="1"/>
  <c r="H823" i="2"/>
  <c r="I823" i="2" s="1"/>
  <c r="H831" i="2"/>
  <c r="I831" i="2" s="1"/>
  <c r="H863" i="2"/>
  <c r="I863" i="2" s="1"/>
  <c r="H35" i="2"/>
  <c r="I35" i="2" s="1"/>
  <c r="H51" i="2"/>
  <c r="I51" i="2" s="1"/>
  <c r="H73" i="2"/>
  <c r="I73" i="2" s="1"/>
  <c r="H89" i="2"/>
  <c r="I89" i="2" s="1"/>
  <c r="H145" i="2"/>
  <c r="I145" i="2" s="1"/>
  <c r="H180" i="2"/>
  <c r="I180" i="2" s="1"/>
  <c r="H215" i="2"/>
  <c r="I215" i="2" s="1"/>
  <c r="H244" i="2"/>
  <c r="I244" i="2" s="1"/>
  <c r="H662" i="2"/>
  <c r="I662" i="2" s="1"/>
  <c r="K662" i="2"/>
  <c r="H13" i="2"/>
  <c r="I13" i="2" s="1"/>
  <c r="H21" i="2"/>
  <c r="I21" i="2" s="1"/>
  <c r="H60" i="2"/>
  <c r="I60" i="2" s="1"/>
  <c r="H108" i="2"/>
  <c r="I108" i="2" s="1"/>
  <c r="H124" i="2"/>
  <c r="I124" i="2" s="1"/>
  <c r="H136" i="2"/>
  <c r="I136" i="2" s="1"/>
  <c r="H165" i="2"/>
  <c r="I165" i="2" s="1"/>
  <c r="H168" i="2"/>
  <c r="I168" i="2" s="1"/>
  <c r="H197" i="2"/>
  <c r="I197" i="2" s="1"/>
  <c r="H203" i="2"/>
  <c r="I203" i="2" s="1"/>
  <c r="K227" i="2"/>
  <c r="H235" i="2"/>
  <c r="I235" i="2" s="1"/>
  <c r="H263" i="2"/>
  <c r="I263" i="2" s="1"/>
  <c r="K263" i="2"/>
  <c r="H276" i="2"/>
  <c r="I276" i="2" s="1"/>
  <c r="H287" i="2"/>
  <c r="I287" i="2" s="1"/>
  <c r="K287" i="2"/>
  <c r="H295" i="2"/>
  <c r="I295" i="2" s="1"/>
  <c r="K295" i="2"/>
  <c r="H319" i="2"/>
  <c r="I319" i="2" s="1"/>
  <c r="K319" i="2"/>
  <c r="H324" i="2"/>
  <c r="I324" i="2" s="1"/>
  <c r="H335" i="2"/>
  <c r="I335" i="2" s="1"/>
  <c r="K335" i="2"/>
  <c r="H356" i="2"/>
  <c r="I356" i="2" s="1"/>
  <c r="H364" i="2"/>
  <c r="I364" i="2" s="1"/>
  <c r="H380" i="2"/>
  <c r="I380" i="2" s="1"/>
  <c r="H388" i="2"/>
  <c r="I388" i="2" s="1"/>
  <c r="H444" i="2"/>
  <c r="I444" i="2" s="1"/>
  <c r="H447" i="2"/>
  <c r="I447" i="2" s="1"/>
  <c r="K447" i="2"/>
  <c r="H460" i="2"/>
  <c r="I460" i="2" s="1"/>
  <c r="H463" i="2"/>
  <c r="I463" i="2" s="1"/>
  <c r="K463" i="2"/>
  <c r="H503" i="2"/>
  <c r="I503" i="2" s="1"/>
  <c r="K503" i="2"/>
  <c r="H516" i="2"/>
  <c r="I516" i="2" s="1"/>
  <c r="H532" i="2"/>
  <c r="I532" i="2" s="1"/>
  <c r="H535" i="2"/>
  <c r="I535" i="2" s="1"/>
  <c r="K535" i="2"/>
  <c r="H543" i="2"/>
  <c r="I543" i="2" s="1"/>
  <c r="K543" i="2"/>
  <c r="H556" i="2"/>
  <c r="I556" i="2" s="1"/>
  <c r="H559" i="2"/>
  <c r="I559" i="2" s="1"/>
  <c r="K559" i="2"/>
  <c r="H572" i="2"/>
  <c r="I572" i="2" s="1"/>
  <c r="H575" i="2"/>
  <c r="I575" i="2" s="1"/>
  <c r="K575" i="2"/>
  <c r="H599" i="2"/>
  <c r="I599" i="2" s="1"/>
  <c r="K599" i="2"/>
  <c r="H614" i="2"/>
  <c r="I614" i="2" s="1"/>
  <c r="K614" i="2"/>
  <c r="H617" i="2"/>
  <c r="I617" i="2" s="1"/>
  <c r="K617" i="2"/>
  <c r="H624" i="2"/>
  <c r="I624" i="2" s="1"/>
  <c r="K624" i="2"/>
  <c r="H640" i="2"/>
  <c r="I640" i="2" s="1"/>
  <c r="K640" i="2"/>
  <c r="K672" i="2"/>
  <c r="H672" i="2"/>
  <c r="I672" i="2" s="1"/>
  <c r="H726" i="2"/>
  <c r="I726" i="2" s="1"/>
  <c r="H8" i="2"/>
  <c r="I8" i="2" s="1"/>
  <c r="H31" i="2"/>
  <c r="I31" i="2" s="1"/>
  <c r="H85" i="2"/>
  <c r="I85" i="2" s="1"/>
  <c r="H117" i="2"/>
  <c r="I117" i="2" s="1"/>
  <c r="H191" i="2"/>
  <c r="I191" i="2" s="1"/>
  <c r="H223" i="2"/>
  <c r="I223" i="2" s="1"/>
  <c r="K668" i="2"/>
  <c r="K772" i="2"/>
  <c r="H772" i="2"/>
  <c r="I772" i="2" s="1"/>
  <c r="K813" i="2"/>
  <c r="H813" i="2"/>
  <c r="I813" i="2" s="1"/>
  <c r="H852" i="2"/>
  <c r="I852" i="2" s="1"/>
  <c r="K852" i="2"/>
  <c r="K7" i="2"/>
  <c r="K12" i="2"/>
  <c r="K16" i="2"/>
  <c r="H131" i="2"/>
  <c r="I131" i="2" s="1"/>
  <c r="K173" i="2"/>
  <c r="K205" i="2"/>
  <c r="K237" i="2"/>
  <c r="H610" i="2"/>
  <c r="I610" i="2" s="1"/>
  <c r="H678" i="2"/>
  <c r="I678" i="2" s="1"/>
  <c r="K678" i="2"/>
  <c r="K703" i="2"/>
  <c r="H703" i="2"/>
  <c r="I703" i="2" s="1"/>
  <c r="H804" i="2"/>
  <c r="I804" i="2" s="1"/>
  <c r="K804" i="2"/>
  <c r="H631" i="2"/>
  <c r="I631" i="2" s="1"/>
  <c r="H650" i="2"/>
  <c r="I650" i="2" s="1"/>
  <c r="K650" i="2"/>
  <c r="K707" i="2"/>
  <c r="H707" i="2"/>
  <c r="I707" i="2" s="1"/>
  <c r="K795" i="2"/>
  <c r="H795" i="2"/>
  <c r="I795" i="2" s="1"/>
  <c r="H3" i="2"/>
  <c r="I3" i="2" s="1"/>
  <c r="H9" i="2"/>
  <c r="I9" i="2" s="1"/>
  <c r="H57" i="2"/>
  <c r="I57" i="2" s="1"/>
  <c r="H83" i="2"/>
  <c r="I83" i="2" s="1"/>
  <c r="H99" i="2"/>
  <c r="I99" i="2" s="1"/>
  <c r="H121" i="2"/>
  <c r="I121" i="2" s="1"/>
  <c r="H151" i="2"/>
  <c r="I151" i="2" s="1"/>
  <c r="H177" i="2"/>
  <c r="I177" i="2" s="1"/>
  <c r="H183" i="2"/>
  <c r="I183" i="2" s="1"/>
  <c r="H212" i="2"/>
  <c r="I212" i="2" s="1"/>
  <c r="H659" i="2"/>
  <c r="I659" i="2" s="1"/>
  <c r="K659" i="2"/>
  <c r="H700" i="2"/>
  <c r="I700" i="2" s="1"/>
  <c r="K700" i="2"/>
  <c r="H28" i="2"/>
  <c r="I28" i="2" s="1"/>
  <c r="H76" i="2"/>
  <c r="I76" i="2" s="1"/>
  <c r="H139" i="2"/>
  <c r="I139" i="2" s="1"/>
  <c r="K163" i="2"/>
  <c r="H171" i="2"/>
  <c r="I171" i="2" s="1"/>
  <c r="H200" i="2"/>
  <c r="I200" i="2" s="1"/>
  <c r="H229" i="2"/>
  <c r="I229" i="2" s="1"/>
  <c r="H232" i="2"/>
  <c r="I232" i="2" s="1"/>
  <c r="H268" i="2"/>
  <c r="I268" i="2" s="1"/>
  <c r="H292" i="2"/>
  <c r="I292" i="2" s="1"/>
  <c r="H316" i="2"/>
  <c r="I316" i="2" s="1"/>
  <c r="H327" i="2"/>
  <c r="I327" i="2" s="1"/>
  <c r="K327" i="2"/>
  <c r="H348" i="2"/>
  <c r="I348" i="2" s="1"/>
  <c r="H367" i="2"/>
  <c r="I367" i="2" s="1"/>
  <c r="K367" i="2"/>
  <c r="H396" i="2"/>
  <c r="I396" i="2" s="1"/>
  <c r="H404" i="2"/>
  <c r="I404" i="2" s="1"/>
  <c r="H412" i="2"/>
  <c r="I412" i="2" s="1"/>
  <c r="H420" i="2"/>
  <c r="I420" i="2" s="1"/>
  <c r="H487" i="2"/>
  <c r="I487" i="2" s="1"/>
  <c r="K487" i="2"/>
  <c r="H492" i="2"/>
  <c r="I492" i="2" s="1"/>
  <c r="H500" i="2"/>
  <c r="I500" i="2" s="1"/>
  <c r="H511" i="2"/>
  <c r="I511" i="2" s="1"/>
  <c r="K511" i="2"/>
  <c r="H564" i="2"/>
  <c r="I564" i="2" s="1"/>
  <c r="K67" i="2"/>
  <c r="K151" i="2"/>
  <c r="H185" i="2"/>
  <c r="I185" i="2" s="1"/>
  <c r="H217" i="2"/>
  <c r="I217" i="2" s="1"/>
  <c r="H37" i="2"/>
  <c r="I37" i="2" s="1"/>
  <c r="H69" i="2"/>
  <c r="I69" i="2" s="1"/>
  <c r="K183" i="2"/>
  <c r="K215" i="2"/>
  <c r="K645" i="2"/>
  <c r="H24" i="2"/>
  <c r="I24" i="2" s="1"/>
  <c r="K25" i="2"/>
  <c r="K41" i="2"/>
  <c r="H56" i="2"/>
  <c r="I56" i="2" s="1"/>
  <c r="H72" i="2"/>
  <c r="I72" i="2" s="1"/>
  <c r="H88" i="2"/>
  <c r="I88" i="2" s="1"/>
  <c r="H104" i="2"/>
  <c r="I104" i="2" s="1"/>
  <c r="K105" i="2"/>
  <c r="H120" i="2"/>
  <c r="I120" i="2" s="1"/>
  <c r="K139" i="2"/>
  <c r="H144" i="2"/>
  <c r="I144" i="2" s="1"/>
  <c r="H147" i="2"/>
  <c r="I147" i="2" s="1"/>
  <c r="K171" i="2"/>
  <c r="H176" i="2"/>
  <c r="I176" i="2" s="1"/>
  <c r="H179" i="2"/>
  <c r="I179" i="2" s="1"/>
  <c r="K203" i="2"/>
  <c r="H208" i="2"/>
  <c r="I208" i="2" s="1"/>
  <c r="K209" i="2"/>
  <c r="H211" i="2"/>
  <c r="I211" i="2" s="1"/>
  <c r="K235" i="2"/>
  <c r="K241" i="2"/>
  <c r="H611" i="2"/>
  <c r="I611" i="2" s="1"/>
  <c r="H621" i="2"/>
  <c r="I621" i="2" s="1"/>
  <c r="H628" i="2"/>
  <c r="I628" i="2" s="1"/>
  <c r="H635" i="2"/>
  <c r="I635" i="2" s="1"/>
  <c r="H686" i="2"/>
  <c r="I686" i="2" s="1"/>
  <c r="K686" i="2"/>
  <c r="H695" i="2"/>
  <c r="I695" i="2" s="1"/>
  <c r="H710" i="2"/>
  <c r="I710" i="2" s="1"/>
  <c r="H715" i="2"/>
  <c r="I715" i="2" s="1"/>
  <c r="K719" i="2"/>
  <c r="H719" i="2"/>
  <c r="I719" i="2" s="1"/>
  <c r="H754" i="2"/>
  <c r="I754" i="2" s="1"/>
  <c r="H756" i="2"/>
  <c r="I756" i="2" s="1"/>
  <c r="H763" i="2"/>
  <c r="I763" i="2" s="1"/>
  <c r="K776" i="2"/>
  <c r="H776" i="2"/>
  <c r="I776" i="2" s="1"/>
  <c r="H807" i="2"/>
  <c r="I807" i="2" s="1"/>
  <c r="H115" i="2"/>
  <c r="I115" i="2" s="1"/>
  <c r="H148" i="2"/>
  <c r="I148" i="2" s="1"/>
  <c r="H247" i="2"/>
  <c r="I247" i="2" s="1"/>
  <c r="H17" i="2"/>
  <c r="I17" i="2" s="1"/>
  <c r="H44" i="2"/>
  <c r="I44" i="2" s="1"/>
  <c r="H92" i="2"/>
  <c r="I92" i="2" s="1"/>
  <c r="K195" i="2"/>
  <c r="H255" i="2"/>
  <c r="I255" i="2" s="1"/>
  <c r="K255" i="2"/>
  <c r="H260" i="2"/>
  <c r="I260" i="2" s="1"/>
  <c r="H279" i="2"/>
  <c r="I279" i="2" s="1"/>
  <c r="K279" i="2"/>
  <c r="H303" i="2"/>
  <c r="I303" i="2" s="1"/>
  <c r="K303" i="2"/>
  <c r="H308" i="2"/>
  <c r="I308" i="2" s="1"/>
  <c r="H332" i="2"/>
  <c r="I332" i="2" s="1"/>
  <c r="H343" i="2"/>
  <c r="I343" i="2" s="1"/>
  <c r="K343" i="2"/>
  <c r="H351" i="2"/>
  <c r="I351" i="2" s="1"/>
  <c r="K351" i="2"/>
  <c r="H372" i="2"/>
  <c r="I372" i="2" s="1"/>
  <c r="H375" i="2"/>
  <c r="I375" i="2" s="1"/>
  <c r="K375" i="2"/>
  <c r="H383" i="2"/>
  <c r="I383" i="2" s="1"/>
  <c r="K383" i="2"/>
  <c r="H391" i="2"/>
  <c r="I391" i="2" s="1"/>
  <c r="K391" i="2"/>
  <c r="H399" i="2"/>
  <c r="I399" i="2" s="1"/>
  <c r="K399" i="2"/>
  <c r="H407" i="2"/>
  <c r="I407" i="2" s="1"/>
  <c r="K407" i="2"/>
  <c r="H431" i="2"/>
  <c r="I431" i="2" s="1"/>
  <c r="K431" i="2"/>
  <c r="H436" i="2"/>
  <c r="I436" i="2" s="1"/>
  <c r="H439" i="2"/>
  <c r="I439" i="2" s="1"/>
  <c r="K439" i="2"/>
  <c r="H452" i="2"/>
  <c r="I452" i="2" s="1"/>
  <c r="H455" i="2"/>
  <c r="I455" i="2" s="1"/>
  <c r="K455" i="2"/>
  <c r="H468" i="2"/>
  <c r="I468" i="2" s="1"/>
  <c r="H471" i="2"/>
  <c r="I471" i="2" s="1"/>
  <c r="K471" i="2"/>
  <c r="H479" i="2"/>
  <c r="I479" i="2" s="1"/>
  <c r="K479" i="2"/>
  <c r="H484" i="2"/>
  <c r="I484" i="2" s="1"/>
  <c r="H508" i="2"/>
  <c r="I508" i="2" s="1"/>
  <c r="H524" i="2"/>
  <c r="I524" i="2" s="1"/>
  <c r="H527" i="2"/>
  <c r="I527" i="2" s="1"/>
  <c r="K527" i="2"/>
  <c r="H551" i="2"/>
  <c r="I551" i="2" s="1"/>
  <c r="K551" i="2"/>
  <c r="H567" i="2"/>
  <c r="I567" i="2" s="1"/>
  <c r="K567" i="2"/>
  <c r="H580" i="2"/>
  <c r="I580" i="2" s="1"/>
  <c r="H583" i="2"/>
  <c r="I583" i="2" s="1"/>
  <c r="K583" i="2"/>
  <c r="H591" i="2"/>
  <c r="I591" i="2" s="1"/>
  <c r="K591" i="2"/>
  <c r="H638" i="2"/>
  <c r="I638" i="2" s="1"/>
  <c r="K638" i="2"/>
  <c r="H666" i="2"/>
  <c r="I666" i="2" s="1"/>
  <c r="K666" i="2"/>
  <c r="K728" i="2"/>
  <c r="H728" i="2"/>
  <c r="I728" i="2" s="1"/>
  <c r="H840" i="2"/>
  <c r="I840" i="2" s="1"/>
  <c r="K840" i="2"/>
  <c r="H127" i="2"/>
  <c r="I127" i="2" s="1"/>
  <c r="H159" i="2"/>
  <c r="I159" i="2" s="1"/>
  <c r="H188" i="2"/>
  <c r="I188" i="2" s="1"/>
  <c r="H698" i="2"/>
  <c r="I698" i="2" s="1"/>
  <c r="K698" i="2"/>
  <c r="H759" i="2"/>
  <c r="I759" i="2" s="1"/>
  <c r="H836" i="2"/>
  <c r="I836" i="2" s="1"/>
  <c r="K836" i="2"/>
  <c r="K21" i="3"/>
  <c r="H21" i="3"/>
  <c r="I21" i="3" s="1"/>
  <c r="K111" i="2"/>
  <c r="H135" i="2"/>
  <c r="I135" i="2" s="1"/>
  <c r="H167" i="2"/>
  <c r="I167" i="2" s="1"/>
  <c r="K223" i="2"/>
  <c r="H228" i="2"/>
  <c r="I228" i="2" s="1"/>
  <c r="H603" i="2"/>
  <c r="I603" i="2" s="1"/>
  <c r="H618" i="2"/>
  <c r="I618" i="2" s="1"/>
  <c r="K618" i="2"/>
  <c r="H632" i="2"/>
  <c r="I632" i="2" s="1"/>
  <c r="H644" i="2"/>
  <c r="I644" i="2" s="1"/>
  <c r="K654" i="2"/>
  <c r="K667" i="2"/>
  <c r="H667" i="2"/>
  <c r="I667" i="2" s="1"/>
  <c r="K683" i="2"/>
  <c r="H683" i="2"/>
  <c r="I683" i="2" s="1"/>
  <c r="H692" i="2"/>
  <c r="I692" i="2" s="1"/>
  <c r="H712" i="2"/>
  <c r="I712" i="2" s="1"/>
  <c r="H798" i="2"/>
  <c r="I798" i="2" s="1"/>
  <c r="H800" i="2"/>
  <c r="I800" i="2" s="1"/>
  <c r="H809" i="2"/>
  <c r="I809" i="2" s="1"/>
  <c r="H811" i="2"/>
  <c r="I811" i="2" s="1"/>
  <c r="K811" i="2"/>
  <c r="H12" i="3"/>
  <c r="I12" i="3" s="1"/>
  <c r="K16" i="3"/>
  <c r="H16" i="3"/>
  <c r="I16" i="3" s="1"/>
  <c r="H101" i="2"/>
  <c r="I101" i="2" s="1"/>
  <c r="H153" i="2"/>
  <c r="I153" i="2" s="1"/>
  <c r="H156" i="2"/>
  <c r="I156" i="2" s="1"/>
  <c r="H670" i="2"/>
  <c r="I670" i="2" s="1"/>
  <c r="K670" i="2"/>
  <c r="H770" i="2"/>
  <c r="I770" i="2" s="1"/>
  <c r="H25" i="3"/>
  <c r="I25" i="3" s="1"/>
  <c r="H132" i="2"/>
  <c r="I132" i="2" s="1"/>
  <c r="K159" i="2"/>
  <c r="H164" i="2"/>
  <c r="I164" i="2" s="1"/>
  <c r="K191" i="2"/>
  <c r="H196" i="2"/>
  <c r="I196" i="2" s="1"/>
  <c r="H199" i="2"/>
  <c r="I199" i="2" s="1"/>
  <c r="H231" i="2"/>
  <c r="I231" i="2" s="1"/>
  <c r="H36" i="2"/>
  <c r="I36" i="2" s="1"/>
  <c r="H52" i="2"/>
  <c r="I52" i="2" s="1"/>
  <c r="H68" i="2"/>
  <c r="I68" i="2" s="1"/>
  <c r="H84" i="2"/>
  <c r="I84" i="2" s="1"/>
  <c r="H100" i="2"/>
  <c r="I100" i="2" s="1"/>
  <c r="H116" i="2"/>
  <c r="I116" i="2" s="1"/>
  <c r="K147" i="2"/>
  <c r="H152" i="2"/>
  <c r="I152" i="2" s="1"/>
  <c r="H155" i="2"/>
  <c r="I155" i="2" s="1"/>
  <c r="K179" i="2"/>
  <c r="H184" i="2"/>
  <c r="I184" i="2" s="1"/>
  <c r="H187" i="2"/>
  <c r="I187" i="2" s="1"/>
  <c r="K211" i="2"/>
  <c r="H219" i="2"/>
  <c r="I219" i="2" s="1"/>
  <c r="H256" i="2"/>
  <c r="I256" i="2" s="1"/>
  <c r="H259" i="2"/>
  <c r="I259" i="2" s="1"/>
  <c r="K259" i="2"/>
  <c r="H264" i="2"/>
  <c r="I264" i="2" s="1"/>
  <c r="H272" i="2"/>
  <c r="I272" i="2" s="1"/>
  <c r="H275" i="2"/>
  <c r="I275" i="2" s="1"/>
  <c r="K275" i="2"/>
  <c r="H280" i="2"/>
  <c r="I280" i="2" s="1"/>
  <c r="H283" i="2"/>
  <c r="I283" i="2" s="1"/>
  <c r="K283" i="2"/>
  <c r="H288" i="2"/>
  <c r="I288" i="2" s="1"/>
  <c r="H291" i="2"/>
  <c r="I291" i="2" s="1"/>
  <c r="K291" i="2"/>
  <c r="H296" i="2"/>
  <c r="I296" i="2" s="1"/>
  <c r="H307" i="2"/>
  <c r="I307" i="2" s="1"/>
  <c r="K307" i="2"/>
  <c r="H312" i="2"/>
  <c r="I312" i="2" s="1"/>
  <c r="H315" i="2"/>
  <c r="I315" i="2" s="1"/>
  <c r="K315" i="2"/>
  <c r="H320" i="2"/>
  <c r="I320" i="2" s="1"/>
  <c r="H323" i="2"/>
  <c r="I323" i="2" s="1"/>
  <c r="K323" i="2"/>
  <c r="H328" i="2"/>
  <c r="I328" i="2" s="1"/>
  <c r="H331" i="2"/>
  <c r="I331" i="2" s="1"/>
  <c r="K331" i="2"/>
  <c r="H339" i="2"/>
  <c r="I339" i="2" s="1"/>
  <c r="K339" i="2"/>
  <c r="H344" i="2"/>
  <c r="I344" i="2" s="1"/>
  <c r="H347" i="2"/>
  <c r="I347" i="2" s="1"/>
  <c r="K347" i="2"/>
  <c r="H352" i="2"/>
  <c r="I352" i="2" s="1"/>
  <c r="H360" i="2"/>
  <c r="I360" i="2" s="1"/>
  <c r="H363" i="2"/>
  <c r="I363" i="2" s="1"/>
  <c r="K363" i="2"/>
  <c r="H368" i="2"/>
  <c r="I368" i="2" s="1"/>
  <c r="H371" i="2"/>
  <c r="I371" i="2" s="1"/>
  <c r="K371" i="2"/>
  <c r="H376" i="2"/>
  <c r="I376" i="2" s="1"/>
  <c r="H384" i="2"/>
  <c r="I384" i="2" s="1"/>
  <c r="H387" i="2"/>
  <c r="I387" i="2" s="1"/>
  <c r="K387" i="2"/>
  <c r="H395" i="2"/>
  <c r="I395" i="2" s="1"/>
  <c r="K395" i="2"/>
  <c r="H403" i="2"/>
  <c r="I403" i="2" s="1"/>
  <c r="K403" i="2"/>
  <c r="H411" i="2"/>
  <c r="I411" i="2" s="1"/>
  <c r="K411" i="2"/>
  <c r="H416" i="2"/>
  <c r="I416" i="2" s="1"/>
  <c r="H419" i="2"/>
  <c r="I419" i="2" s="1"/>
  <c r="K419" i="2"/>
  <c r="H424" i="2"/>
  <c r="I424" i="2" s="1"/>
  <c r="H427" i="2"/>
  <c r="I427" i="2" s="1"/>
  <c r="K427" i="2"/>
  <c r="H432" i="2"/>
  <c r="I432" i="2" s="1"/>
  <c r="H435" i="2"/>
  <c r="I435" i="2" s="1"/>
  <c r="K435" i="2"/>
  <c r="H440" i="2"/>
  <c r="I440" i="2" s="1"/>
  <c r="H443" i="2"/>
  <c r="I443" i="2" s="1"/>
  <c r="K443" i="2"/>
  <c r="H448" i="2"/>
  <c r="I448" i="2" s="1"/>
  <c r="H451" i="2"/>
  <c r="I451" i="2" s="1"/>
  <c r="K451" i="2"/>
  <c r="H456" i="2"/>
  <c r="I456" i="2" s="1"/>
  <c r="H459" i="2"/>
  <c r="I459" i="2" s="1"/>
  <c r="K459" i="2"/>
  <c r="H467" i="2"/>
  <c r="I467" i="2" s="1"/>
  <c r="K467" i="2"/>
  <c r="H472" i="2"/>
  <c r="I472" i="2" s="1"/>
  <c r="H475" i="2"/>
  <c r="I475" i="2" s="1"/>
  <c r="K475" i="2"/>
  <c r="H480" i="2"/>
  <c r="I480" i="2" s="1"/>
  <c r="H483" i="2"/>
  <c r="I483" i="2" s="1"/>
  <c r="K483" i="2"/>
  <c r="H488" i="2"/>
  <c r="I488" i="2" s="1"/>
  <c r="H491" i="2"/>
  <c r="I491" i="2" s="1"/>
  <c r="K491" i="2"/>
  <c r="H499" i="2"/>
  <c r="I499" i="2" s="1"/>
  <c r="K499" i="2"/>
  <c r="H504" i="2"/>
  <c r="I504" i="2" s="1"/>
  <c r="H507" i="2"/>
  <c r="I507" i="2" s="1"/>
  <c r="K507" i="2"/>
  <c r="H512" i="2"/>
  <c r="I512" i="2" s="1"/>
  <c r="H515" i="2"/>
  <c r="I515" i="2" s="1"/>
  <c r="K515" i="2"/>
  <c r="H520" i="2"/>
  <c r="I520" i="2" s="1"/>
  <c r="H523" i="2"/>
  <c r="I523" i="2" s="1"/>
  <c r="K523" i="2"/>
  <c r="H528" i="2"/>
  <c r="I528" i="2" s="1"/>
  <c r="H531" i="2"/>
  <c r="I531" i="2" s="1"/>
  <c r="K531" i="2"/>
  <c r="H536" i="2"/>
  <c r="I536" i="2" s="1"/>
  <c r="H544" i="2"/>
  <c r="I544" i="2" s="1"/>
  <c r="H547" i="2"/>
  <c r="I547" i="2" s="1"/>
  <c r="K547" i="2"/>
  <c r="H552" i="2"/>
  <c r="I552" i="2" s="1"/>
  <c r="H555" i="2"/>
  <c r="I555" i="2" s="1"/>
  <c r="K555" i="2"/>
  <c r="H560" i="2"/>
  <c r="I560" i="2" s="1"/>
  <c r="H563" i="2"/>
  <c r="I563" i="2" s="1"/>
  <c r="K563" i="2"/>
  <c r="H568" i="2"/>
  <c r="I568" i="2" s="1"/>
  <c r="H576" i="2"/>
  <c r="I576" i="2" s="1"/>
  <c r="H579" i="2"/>
  <c r="I579" i="2" s="1"/>
  <c r="K579" i="2"/>
  <c r="H587" i="2"/>
  <c r="I587" i="2" s="1"/>
  <c r="K587" i="2"/>
  <c r="H592" i="2"/>
  <c r="I592" i="2" s="1"/>
  <c r="H595" i="2"/>
  <c r="I595" i="2" s="1"/>
  <c r="K595" i="2"/>
  <c r="H600" i="2"/>
  <c r="I600" i="2" s="1"/>
  <c r="H625" i="2"/>
  <c r="I625" i="2" s="1"/>
  <c r="H738" i="2"/>
  <c r="I738" i="2" s="1"/>
  <c r="H860" i="2"/>
  <c r="I860" i="2" s="1"/>
  <c r="K860" i="2"/>
  <c r="H622" i="2"/>
  <c r="I622" i="2" s="1"/>
  <c r="K787" i="2"/>
  <c r="H787" i="2"/>
  <c r="I787" i="2" s="1"/>
  <c r="H816" i="2"/>
  <c r="I816" i="2" s="1"/>
  <c r="K816" i="2"/>
  <c r="H606" i="2"/>
  <c r="I606" i="2" s="1"/>
  <c r="H702" i="2"/>
  <c r="I702" i="2" s="1"/>
  <c r="H714" i="2"/>
  <c r="I714" i="2" s="1"/>
  <c r="H758" i="2"/>
  <c r="I758" i="2" s="1"/>
  <c r="H821" i="2"/>
  <c r="I821" i="2" s="1"/>
  <c r="H5" i="3"/>
  <c r="I5" i="3" s="1"/>
  <c r="K5" i="3"/>
  <c r="H18" i="3"/>
  <c r="I18" i="3" s="1"/>
  <c r="K18" i="3"/>
  <c r="H602" i="2"/>
  <c r="I602" i="2" s="1"/>
  <c r="H646" i="2"/>
  <c r="I646" i="2" s="1"/>
  <c r="K646" i="2"/>
  <c r="H652" i="2"/>
  <c r="I652" i="2" s="1"/>
  <c r="H658" i="2"/>
  <c r="I658" i="2" s="1"/>
  <c r="H699" i="2"/>
  <c r="I699" i="2" s="1"/>
  <c r="H704" i="2"/>
  <c r="I704" i="2" s="1"/>
  <c r="H716" i="2"/>
  <c r="I716" i="2" s="1"/>
  <c r="K723" i="2"/>
  <c r="H723" i="2"/>
  <c r="I723" i="2" s="1"/>
  <c r="H746" i="2"/>
  <c r="I746" i="2" s="1"/>
  <c r="H760" i="2"/>
  <c r="I760" i="2" s="1"/>
  <c r="H819" i="2"/>
  <c r="I819" i="2" s="1"/>
  <c r="K825" i="2"/>
  <c r="H825" i="2"/>
  <c r="I825" i="2" s="1"/>
  <c r="H851" i="2"/>
  <c r="I851" i="2" s="1"/>
  <c r="H626" i="2"/>
  <c r="I626" i="2" s="1"/>
  <c r="H671" i="2"/>
  <c r="I671" i="2" s="1"/>
  <c r="H708" i="2"/>
  <c r="I708" i="2" s="1"/>
  <c r="K755" i="2"/>
  <c r="H755" i="2"/>
  <c r="I755" i="2" s="1"/>
  <c r="H24" i="3"/>
  <c r="I24" i="3" s="1"/>
  <c r="K24" i="3"/>
  <c r="H34" i="3"/>
  <c r="I34" i="3" s="1"/>
  <c r="H634" i="2"/>
  <c r="I634" i="2" s="1"/>
  <c r="H674" i="2"/>
  <c r="I674" i="2" s="1"/>
  <c r="H718" i="2"/>
  <c r="I718" i="2" s="1"/>
  <c r="H750" i="2"/>
  <c r="I750" i="2" s="1"/>
  <c r="H782" i="2"/>
  <c r="I782" i="2" s="1"/>
  <c r="H839" i="2"/>
  <c r="I839" i="2" s="1"/>
  <c r="K839" i="2"/>
  <c r="H8" i="3"/>
  <c r="I8" i="3" s="1"/>
  <c r="H820" i="2"/>
  <c r="I820" i="2" s="1"/>
  <c r="K820" i="2"/>
  <c r="H832" i="2"/>
  <c r="I832" i="2" s="1"/>
  <c r="K832" i="2"/>
  <c r="H11" i="3"/>
  <c r="I11" i="3" s="1"/>
  <c r="K11" i="3"/>
  <c r="H824" i="2"/>
  <c r="I824" i="2" s="1"/>
  <c r="K824" i="2"/>
  <c r="H856" i="2"/>
  <c r="I856" i="2" s="1"/>
  <c r="K856" i="2"/>
  <c r="H812" i="2"/>
  <c r="I812" i="2" s="1"/>
  <c r="K812" i="2"/>
  <c r="H864" i="2"/>
  <c r="I864" i="2" s="1"/>
  <c r="M34" i="3" l="1"/>
  <c r="M35" i="3" s="1"/>
  <c r="M10" i="2"/>
  <c r="M4" i="2"/>
  <c r="M6" i="2"/>
  <c r="M7" i="2" s="1"/>
  <c r="M7" i="3"/>
  <c r="M9" i="3"/>
  <c r="M10" i="3" s="1"/>
  <c r="M32" i="3"/>
  <c r="M13" i="3"/>
</calcChain>
</file>

<file path=xl/sharedStrings.xml><?xml version="1.0" encoding="utf-8"?>
<sst xmlns="http://schemas.openxmlformats.org/spreadsheetml/2006/main" count="2726" uniqueCount="889">
  <si>
    <t>Levels Date</t>
  </si>
  <si>
    <t>Ticker</t>
  </si>
  <si>
    <t>Bias</t>
  </si>
  <si>
    <t>Risk Trigger</t>
  </si>
  <si>
    <t>Swing Level</t>
  </si>
  <si>
    <t>Level Value</t>
  </si>
  <si>
    <t>Open Price 02/03/2025</t>
  </si>
  <si>
    <t>Close Price 02/07/2025</t>
  </si>
  <si>
    <t>Return</t>
  </si>
  <si>
    <t>P&amp;L</t>
  </si>
  <si>
    <t>Strategy</t>
  </si>
  <si>
    <t>Success</t>
  </si>
  <si>
    <t>Number of Stocks</t>
  </si>
  <si>
    <t>aa</t>
  </si>
  <si>
    <t>Bullish</t>
  </si>
  <si>
    <t>LB</t>
  </si>
  <si>
    <t>Long / Short Strategy</t>
  </si>
  <si>
    <t>aal</t>
  </si>
  <si>
    <t>Win Rate</t>
  </si>
  <si>
    <t>aaoi</t>
  </si>
  <si>
    <t>Portfolio Size</t>
  </si>
  <si>
    <t>aap</t>
  </si>
  <si>
    <t>aapl</t>
  </si>
  <si>
    <t>Return %</t>
  </si>
  <si>
    <t>abbv</t>
  </si>
  <si>
    <t>abev</t>
  </si>
  <si>
    <t>Options Strategy</t>
  </si>
  <si>
    <t>abnb</t>
  </si>
  <si>
    <t>abr</t>
  </si>
  <si>
    <t>abt</t>
  </si>
  <si>
    <t>abus</t>
  </si>
  <si>
    <t>acad</t>
  </si>
  <si>
    <t>acb</t>
  </si>
  <si>
    <t>achr</t>
  </si>
  <si>
    <t>aci</t>
  </si>
  <si>
    <t>acls</t>
  </si>
  <si>
    <t>acn</t>
  </si>
  <si>
    <t>adbe</t>
  </si>
  <si>
    <t>Bearish</t>
  </si>
  <si>
    <t>UB</t>
  </si>
  <si>
    <t>adi</t>
  </si>
  <si>
    <t>adm</t>
  </si>
  <si>
    <t>adsk</t>
  </si>
  <si>
    <t>aehr</t>
  </si>
  <si>
    <t>aem</t>
  </si>
  <si>
    <t>aeo</t>
  </si>
  <si>
    <t>aes</t>
  </si>
  <si>
    <t>afrm</t>
  </si>
  <si>
    <t>ag</t>
  </si>
  <si>
    <t>agen</t>
  </si>
  <si>
    <t>agg</t>
  </si>
  <si>
    <t>agi</t>
  </si>
  <si>
    <t>agnc</t>
  </si>
  <si>
    <t>agq</t>
  </si>
  <si>
    <t>ai</t>
  </si>
  <si>
    <t>aig</t>
  </si>
  <si>
    <t>aiq</t>
  </si>
  <si>
    <t>akam</t>
  </si>
  <si>
    <t>akba</t>
  </si>
  <si>
    <t>alb</t>
  </si>
  <si>
    <t>algm</t>
  </si>
  <si>
    <t>alt</t>
  </si>
  <si>
    <t>amat</t>
  </si>
  <si>
    <t>amc</t>
  </si>
  <si>
    <t>amd</t>
  </si>
  <si>
    <t>amgn</t>
  </si>
  <si>
    <t>amlx</t>
  </si>
  <si>
    <t>amsc</t>
  </si>
  <si>
    <t>amt</t>
  </si>
  <si>
    <t>amtx</t>
  </si>
  <si>
    <t>amzn</t>
  </si>
  <si>
    <t>anet</t>
  </si>
  <si>
    <t>anf</t>
  </si>
  <si>
    <t>apa</t>
  </si>
  <si>
    <t>apam</t>
  </si>
  <si>
    <t>aph</t>
  </si>
  <si>
    <t>apld</t>
  </si>
  <si>
    <t>apo</t>
  </si>
  <si>
    <t>app</t>
  </si>
  <si>
    <t>aqst</t>
  </si>
  <si>
    <t>ar</t>
  </si>
  <si>
    <t>ardx</t>
  </si>
  <si>
    <t>ares</t>
  </si>
  <si>
    <t>arhs</t>
  </si>
  <si>
    <t>arkf</t>
  </si>
  <si>
    <t>arkg</t>
  </si>
  <si>
    <t>arkk</t>
  </si>
  <si>
    <t>arm</t>
  </si>
  <si>
    <t>arwr</t>
  </si>
  <si>
    <t>asan</t>
  </si>
  <si>
    <t>ashr</t>
  </si>
  <si>
    <t>ashs</t>
  </si>
  <si>
    <t>asml</t>
  </si>
  <si>
    <t>asts</t>
  </si>
  <si>
    <t>atmu</t>
  </si>
  <si>
    <t>au</t>
  </si>
  <si>
    <t>aur</t>
  </si>
  <si>
    <t>avgo</t>
  </si>
  <si>
    <t>awk</t>
  </si>
  <si>
    <t>ax</t>
  </si>
  <si>
    <t>axon</t>
  </si>
  <si>
    <t>axp</t>
  </si>
  <si>
    <t>azn</t>
  </si>
  <si>
    <t>ba</t>
  </si>
  <si>
    <t>baba</t>
  </si>
  <si>
    <t>bac</t>
  </si>
  <si>
    <t>ball</t>
  </si>
  <si>
    <t>bb</t>
  </si>
  <si>
    <t>bbai</t>
  </si>
  <si>
    <t>bbwi</t>
  </si>
  <si>
    <t>bby</t>
  </si>
  <si>
    <t>bcrx</t>
  </si>
  <si>
    <t>be</t>
  </si>
  <si>
    <t>beke</t>
  </si>
  <si>
    <t>bhc</t>
  </si>
  <si>
    <t>bidu</t>
  </si>
  <si>
    <t>biib</t>
  </si>
  <si>
    <t>bil</t>
  </si>
  <si>
    <t>bili</t>
  </si>
  <si>
    <t>bill</t>
  </si>
  <si>
    <t>bitf</t>
  </si>
  <si>
    <t>biti</t>
  </si>
  <si>
    <t>bito</t>
  </si>
  <si>
    <t>bitu</t>
  </si>
  <si>
    <t>bitx</t>
  </si>
  <si>
    <t>bk</t>
  </si>
  <si>
    <t>bkng</t>
  </si>
  <si>
    <t>blk</t>
  </si>
  <si>
    <t>blnk</t>
  </si>
  <si>
    <t>blok</t>
  </si>
  <si>
    <t>bmea</t>
  </si>
  <si>
    <t>bmy</t>
  </si>
  <si>
    <t>bnd</t>
  </si>
  <si>
    <t>bndx</t>
  </si>
  <si>
    <t>bngo</t>
  </si>
  <si>
    <t>bntx</t>
  </si>
  <si>
    <t>boil</t>
  </si>
  <si>
    <t>botz</t>
  </si>
  <si>
    <t>box</t>
  </si>
  <si>
    <t>bp</t>
  </si>
  <si>
    <t>brk.b</t>
  </si>
  <si>
    <t>bro</t>
  </si>
  <si>
    <t>bsx</t>
  </si>
  <si>
    <t>btbt</t>
  </si>
  <si>
    <t>bti</t>
  </si>
  <si>
    <t>btu</t>
  </si>
  <si>
    <t>bud</t>
  </si>
  <si>
    <t>burl</t>
  </si>
  <si>
    <t>bw</t>
  </si>
  <si>
    <t>bx</t>
  </si>
  <si>
    <t>bxmt</t>
  </si>
  <si>
    <t>byd</t>
  </si>
  <si>
    <t>bynd</t>
  </si>
  <si>
    <t>byon</t>
  </si>
  <si>
    <t>c</t>
  </si>
  <si>
    <t>cake</t>
  </si>
  <si>
    <t>car</t>
  </si>
  <si>
    <t>carr</t>
  </si>
  <si>
    <t>cart</t>
  </si>
  <si>
    <t>carz</t>
  </si>
  <si>
    <t>cat</t>
  </si>
  <si>
    <t>cava</t>
  </si>
  <si>
    <t>cb</t>
  </si>
  <si>
    <t>cboe</t>
  </si>
  <si>
    <t>cccc</t>
  </si>
  <si>
    <t>ccj</t>
  </si>
  <si>
    <t>ccl</t>
  </si>
  <si>
    <t>cdlx</t>
  </si>
  <si>
    <t>ceg</t>
  </si>
  <si>
    <t>celh</t>
  </si>
  <si>
    <t>cf</t>
  </si>
  <si>
    <t>cflt</t>
  </si>
  <si>
    <t>cgc</t>
  </si>
  <si>
    <t>cgnt</t>
  </si>
  <si>
    <t>chau</t>
  </si>
  <si>
    <t>chpt</t>
  </si>
  <si>
    <t>chtr</t>
  </si>
  <si>
    <t>chwy</t>
  </si>
  <si>
    <t>ci</t>
  </si>
  <si>
    <t>cibr</t>
  </si>
  <si>
    <t>cifr</t>
  </si>
  <si>
    <t>cl</t>
  </si>
  <si>
    <t>clbt</t>
  </si>
  <si>
    <t>clf</t>
  </si>
  <si>
    <t>clov</t>
  </si>
  <si>
    <t>clsk</t>
  </si>
  <si>
    <t>cma</t>
  </si>
  <si>
    <t>cmcsa</t>
  </si>
  <si>
    <t>cme</t>
  </si>
  <si>
    <t>cmg</t>
  </si>
  <si>
    <t>cmi</t>
  </si>
  <si>
    <t>cnc</t>
  </si>
  <si>
    <t>cnk</t>
  </si>
  <si>
    <t>cnm</t>
  </si>
  <si>
    <t>cof</t>
  </si>
  <si>
    <t>cohr</t>
  </si>
  <si>
    <t>coin</t>
  </si>
  <si>
    <t>conl</t>
  </si>
  <si>
    <t>cony</t>
  </si>
  <si>
    <t>cop</t>
  </si>
  <si>
    <t>copx</t>
  </si>
  <si>
    <t>cort</t>
  </si>
  <si>
    <t>cost</t>
  </si>
  <si>
    <t>coty</t>
  </si>
  <si>
    <t>cour</t>
  </si>
  <si>
    <t>cpb</t>
  </si>
  <si>
    <t>cpng</t>
  </si>
  <si>
    <t>cpri</t>
  </si>
  <si>
    <t>crbg</t>
  </si>
  <si>
    <t>crm</t>
  </si>
  <si>
    <t>cron</t>
  </si>
  <si>
    <t>crox</t>
  </si>
  <si>
    <t>crsp</t>
  </si>
  <si>
    <t>crwd</t>
  </si>
  <si>
    <t>csco</t>
  </si>
  <si>
    <t>csgp</t>
  </si>
  <si>
    <t>csiq</t>
  </si>
  <si>
    <t>csx</t>
  </si>
  <si>
    <t>ctra</t>
  </si>
  <si>
    <t>cvac</t>
  </si>
  <si>
    <t>cve</t>
  </si>
  <si>
    <t>cvlg</t>
  </si>
  <si>
    <t>cvna</t>
  </si>
  <si>
    <t>cvs</t>
  </si>
  <si>
    <t>cvx</t>
  </si>
  <si>
    <t>cweb</t>
  </si>
  <si>
    <t>cytk</t>
  </si>
  <si>
    <t>czr</t>
  </si>
  <si>
    <t>dal</t>
  </si>
  <si>
    <t>dash</t>
  </si>
  <si>
    <t>ddog</t>
  </si>
  <si>
    <t>de</t>
  </si>
  <si>
    <t>dell</t>
  </si>
  <si>
    <t>dfen</t>
  </si>
  <si>
    <t>dfs</t>
  </si>
  <si>
    <t>dg</t>
  </si>
  <si>
    <t>dhr</t>
  </si>
  <si>
    <t>dht</t>
  </si>
  <si>
    <t>dia</t>
  </si>
  <si>
    <t>dino</t>
  </si>
  <si>
    <t>dis</t>
  </si>
  <si>
    <t>djt</t>
  </si>
  <si>
    <t>dkng</t>
  </si>
  <si>
    <t>dks</t>
  </si>
  <si>
    <t>dlo</t>
  </si>
  <si>
    <t>dltr</t>
  </si>
  <si>
    <t>dna</t>
  </si>
  <si>
    <t>dnn</t>
  </si>
  <si>
    <t>docu</t>
  </si>
  <si>
    <t>dow</t>
  </si>
  <si>
    <t>dpst</t>
  </si>
  <si>
    <t>drd</t>
  </si>
  <si>
    <t>drv</t>
  </si>
  <si>
    <t>duk</t>
  </si>
  <si>
    <t>duol</t>
  </si>
  <si>
    <t>dust</t>
  </si>
  <si>
    <t>dvax</t>
  </si>
  <si>
    <t>dvn</t>
  </si>
  <si>
    <t>dxcm</t>
  </si>
  <si>
    <t>ea</t>
  </si>
  <si>
    <t>ebay</t>
  </si>
  <si>
    <t>edit</t>
  </si>
  <si>
    <t>edr</t>
  </si>
  <si>
    <t>edz</t>
  </si>
  <si>
    <t>eem</t>
  </si>
  <si>
    <t>efa</t>
  </si>
  <si>
    <t>ego</t>
  </si>
  <si>
    <t>eh</t>
  </si>
  <si>
    <t>el</t>
  </si>
  <si>
    <t>elf</t>
  </si>
  <si>
    <t>elv</t>
  </si>
  <si>
    <t>emb</t>
  </si>
  <si>
    <t>emr</t>
  </si>
  <si>
    <t>enph</t>
  </si>
  <si>
    <t>envx</t>
  </si>
  <si>
    <t>eose</t>
  </si>
  <si>
    <t>epd</t>
  </si>
  <si>
    <t>eqt</t>
  </si>
  <si>
    <t>eqx</t>
  </si>
  <si>
    <t>erj</t>
  </si>
  <si>
    <t>erx</t>
  </si>
  <si>
    <t>espo</t>
  </si>
  <si>
    <t>estc</t>
  </si>
  <si>
    <t>et</t>
  </si>
  <si>
    <t>etn</t>
  </si>
  <si>
    <t>etsy</t>
  </si>
  <si>
    <t>ewg</t>
  </si>
  <si>
    <t>ewh</t>
  </si>
  <si>
    <t>ewj</t>
  </si>
  <si>
    <t>eww</t>
  </si>
  <si>
    <t>ewy</t>
  </si>
  <si>
    <t>ewz</t>
  </si>
  <si>
    <t>exas</t>
  </si>
  <si>
    <t>exc</t>
  </si>
  <si>
    <t>expe</t>
  </si>
  <si>
    <t>ezu</t>
  </si>
  <si>
    <t>f</t>
  </si>
  <si>
    <t>fas</t>
  </si>
  <si>
    <t>faz</t>
  </si>
  <si>
    <t>fcel</t>
  </si>
  <si>
    <t>fdx</t>
  </si>
  <si>
    <t>fez</t>
  </si>
  <si>
    <t>ffty</t>
  </si>
  <si>
    <t>fl</t>
  </si>
  <si>
    <t>flex</t>
  </si>
  <si>
    <t>flgt</t>
  </si>
  <si>
    <t>flr</t>
  </si>
  <si>
    <t>fmx</t>
  </si>
  <si>
    <t>fnd</t>
  </si>
  <si>
    <t>fngs</t>
  </si>
  <si>
    <t>four</t>
  </si>
  <si>
    <t>foxa</t>
  </si>
  <si>
    <t>fslr</t>
  </si>
  <si>
    <t>fsly</t>
  </si>
  <si>
    <t>ftnt</t>
  </si>
  <si>
    <t>fubo</t>
  </si>
  <si>
    <t>futu</t>
  </si>
  <si>
    <t>fwonk</t>
  </si>
  <si>
    <t>fxe</t>
  </si>
  <si>
    <t>fxf</t>
  </si>
  <si>
    <t>fxi</t>
  </si>
  <si>
    <t>fxy</t>
  </si>
  <si>
    <t>gct</t>
  </si>
  <si>
    <t>gd</t>
  </si>
  <si>
    <t>gddy</t>
  </si>
  <si>
    <t>gdx</t>
  </si>
  <si>
    <t>gdxj</t>
  </si>
  <si>
    <t>ge</t>
  </si>
  <si>
    <t>geo</t>
  </si>
  <si>
    <t>gern</t>
  </si>
  <si>
    <t>ges</t>
  </si>
  <si>
    <t>gfi</t>
  </si>
  <si>
    <t>ggal</t>
  </si>
  <si>
    <t>ggll</t>
  </si>
  <si>
    <t>ggme</t>
  </si>
  <si>
    <t>gild</t>
  </si>
  <si>
    <t>gis</t>
  </si>
  <si>
    <t>glbe</t>
  </si>
  <si>
    <t>gld</t>
  </si>
  <si>
    <t>glng</t>
  </si>
  <si>
    <t>glyc</t>
  </si>
  <si>
    <t>gm</t>
  </si>
  <si>
    <t>gme</t>
  </si>
  <si>
    <t>gold</t>
  </si>
  <si>
    <t>goog</t>
  </si>
  <si>
    <t>googl</t>
  </si>
  <si>
    <t>govt</t>
  </si>
  <si>
    <t>gpc</t>
  </si>
  <si>
    <t>grab</t>
  </si>
  <si>
    <t>grpn</t>
  </si>
  <si>
    <t>gs</t>
  </si>
  <si>
    <t>gsat</t>
  </si>
  <si>
    <t>gtlb</t>
  </si>
  <si>
    <t>gush</t>
  </si>
  <si>
    <t>h</t>
  </si>
  <si>
    <t>hal</t>
  </si>
  <si>
    <t>hcc</t>
  </si>
  <si>
    <t>hcp</t>
  </si>
  <si>
    <t>hd</t>
  </si>
  <si>
    <t>hdge</t>
  </si>
  <si>
    <t>he</t>
  </si>
  <si>
    <t>hezu</t>
  </si>
  <si>
    <t>hims</t>
  </si>
  <si>
    <t>hl</t>
  </si>
  <si>
    <t>hlt</t>
  </si>
  <si>
    <t>hon</t>
  </si>
  <si>
    <t>hood</t>
  </si>
  <si>
    <t>hpe</t>
  </si>
  <si>
    <t>hpq</t>
  </si>
  <si>
    <t>hrb</t>
  </si>
  <si>
    <t>hrl</t>
  </si>
  <si>
    <t>hsbc</t>
  </si>
  <si>
    <t>hsy</t>
  </si>
  <si>
    <t>htz</t>
  </si>
  <si>
    <t>hubs</t>
  </si>
  <si>
    <t>hum</t>
  </si>
  <si>
    <t>hut</t>
  </si>
  <si>
    <t>huya</t>
  </si>
  <si>
    <t>hyg</t>
  </si>
  <si>
    <t>iai</t>
  </si>
  <si>
    <t>iau</t>
  </si>
  <si>
    <t>ibb</t>
  </si>
  <si>
    <t>ibit</t>
  </si>
  <si>
    <t>ibm</t>
  </si>
  <si>
    <t>ibrx</t>
  </si>
  <si>
    <t>ibuy</t>
  </si>
  <si>
    <t>icln</t>
  </si>
  <si>
    <t>ief</t>
  </si>
  <si>
    <t>iefa</t>
  </si>
  <si>
    <t>iemg</t>
  </si>
  <si>
    <t>iep</t>
  </si>
  <si>
    <t>ihf</t>
  </si>
  <si>
    <t>ihi</t>
  </si>
  <si>
    <t>ijh</t>
  </si>
  <si>
    <t>ijr</t>
  </si>
  <si>
    <t>ilmn</t>
  </si>
  <si>
    <t>inda</t>
  </si>
  <si>
    <t>intc</t>
  </si>
  <si>
    <t>intu</t>
  </si>
  <si>
    <t>ionq</t>
  </si>
  <si>
    <t>iot</t>
  </si>
  <si>
    <t>iova</t>
  </si>
  <si>
    <t>ipg</t>
  </si>
  <si>
    <t>ipo</t>
  </si>
  <si>
    <t>iq</t>
  </si>
  <si>
    <t>iren</t>
  </si>
  <si>
    <t>irwd</t>
  </si>
  <si>
    <t>isrg</t>
  </si>
  <si>
    <t>it</t>
  </si>
  <si>
    <t>itb</t>
  </si>
  <si>
    <t>itot</t>
  </si>
  <si>
    <t>ivv</t>
  </si>
  <si>
    <t>ivw</t>
  </si>
  <si>
    <t>iwb</t>
  </si>
  <si>
    <t>iwc</t>
  </si>
  <si>
    <t>iwd</t>
  </si>
  <si>
    <t>iwf</t>
  </si>
  <si>
    <t>iwm</t>
  </si>
  <si>
    <t>iwo</t>
  </si>
  <si>
    <t>iyr</t>
  </si>
  <si>
    <t>iyt</t>
  </si>
  <si>
    <t>jblu</t>
  </si>
  <si>
    <t>jci</t>
  </si>
  <si>
    <t>jd</t>
  </si>
  <si>
    <t>jdst</t>
  </si>
  <si>
    <t>jepi</t>
  </si>
  <si>
    <t>jepq</t>
  </si>
  <si>
    <t>jets</t>
  </si>
  <si>
    <t>jmia</t>
  </si>
  <si>
    <t>jnj</t>
  </si>
  <si>
    <t>jnk</t>
  </si>
  <si>
    <t>joby</t>
  </si>
  <si>
    <t>jpm</t>
  </si>
  <si>
    <t>jwn</t>
  </si>
  <si>
    <t>kbe</t>
  </si>
  <si>
    <t>kbwp</t>
  </si>
  <si>
    <t>kce</t>
  </si>
  <si>
    <t>kdp</t>
  </si>
  <si>
    <t>key</t>
  </si>
  <si>
    <t>kgc</t>
  </si>
  <si>
    <t>khc</t>
  </si>
  <si>
    <t>kie</t>
  </si>
  <si>
    <t>klg</t>
  </si>
  <si>
    <t>kmi</t>
  </si>
  <si>
    <t>knct</t>
  </si>
  <si>
    <t>knsl</t>
  </si>
  <si>
    <t>ko</t>
  </si>
  <si>
    <t>kodk</t>
  </si>
  <si>
    <t>kr</t>
  </si>
  <si>
    <t>kre</t>
  </si>
  <si>
    <t>kss</t>
  </si>
  <si>
    <t>kvue</t>
  </si>
  <si>
    <t>kweb</t>
  </si>
  <si>
    <t>labd</t>
  </si>
  <si>
    <t>labu</t>
  </si>
  <si>
    <t>lac</t>
  </si>
  <si>
    <t>lazr</t>
  </si>
  <si>
    <t>lcid</t>
  </si>
  <si>
    <t>len</t>
  </si>
  <si>
    <t>li</t>
  </si>
  <si>
    <t>licy</t>
  </si>
  <si>
    <t>lin</t>
  </si>
  <si>
    <t>lite</t>
  </si>
  <si>
    <t>lly</t>
  </si>
  <si>
    <t>lmnd</t>
  </si>
  <si>
    <t>lmt</t>
  </si>
  <si>
    <t>lnc</t>
  </si>
  <si>
    <t>lng</t>
  </si>
  <si>
    <t>lnth</t>
  </si>
  <si>
    <t>logi</t>
  </si>
  <si>
    <t>love</t>
  </si>
  <si>
    <t>low</t>
  </si>
  <si>
    <t>lpla</t>
  </si>
  <si>
    <t>lqd</t>
  </si>
  <si>
    <t>lrcx</t>
  </si>
  <si>
    <t>lscc</t>
  </si>
  <si>
    <t>lu</t>
  </si>
  <si>
    <t>lulu</t>
  </si>
  <si>
    <t>lumn</t>
  </si>
  <si>
    <t>lunr</t>
  </si>
  <si>
    <t>luv</t>
  </si>
  <si>
    <t>lvs</t>
  </si>
  <si>
    <t>lyft</t>
  </si>
  <si>
    <t>m</t>
  </si>
  <si>
    <t>ma</t>
  </si>
  <si>
    <t>mag</t>
  </si>
  <si>
    <t>mar</t>
  </si>
  <si>
    <t>mara</t>
  </si>
  <si>
    <t>mbly</t>
  </si>
  <si>
    <t>mc</t>
  </si>
  <si>
    <t>mcd</t>
  </si>
  <si>
    <t>mchi</t>
  </si>
  <si>
    <t>mdb</t>
  </si>
  <si>
    <t>mdlz</t>
  </si>
  <si>
    <t>mdt</t>
  </si>
  <si>
    <t>mdy</t>
  </si>
  <si>
    <t>mdyg</t>
  </si>
  <si>
    <t>meli</t>
  </si>
  <si>
    <t>met</t>
  </si>
  <si>
    <t>meta</t>
  </si>
  <si>
    <t>metv</t>
  </si>
  <si>
    <t>mfin</t>
  </si>
  <si>
    <t>mgk</t>
  </si>
  <si>
    <t>mgm</t>
  </si>
  <si>
    <t>mj</t>
  </si>
  <si>
    <t>mmm</t>
  </si>
  <si>
    <t>mnso</t>
  </si>
  <si>
    <t>mo</t>
  </si>
  <si>
    <t>modg</t>
  </si>
  <si>
    <t>momo</t>
  </si>
  <si>
    <t>mos</t>
  </si>
  <si>
    <t>mp</t>
  </si>
  <si>
    <t>mpc</t>
  </si>
  <si>
    <t>mplx</t>
  </si>
  <si>
    <t>mpw</t>
  </si>
  <si>
    <t>mrk</t>
  </si>
  <si>
    <t>mrna</t>
  </si>
  <si>
    <t>mrvl</t>
  </si>
  <si>
    <t>ms</t>
  </si>
  <si>
    <t>msft</t>
  </si>
  <si>
    <t>msos</t>
  </si>
  <si>
    <t>msox</t>
  </si>
  <si>
    <t>mstr</t>
  </si>
  <si>
    <t>mtch</t>
  </si>
  <si>
    <t>mu</t>
  </si>
  <si>
    <t>mub</t>
  </si>
  <si>
    <t>mvis</t>
  </si>
  <si>
    <t>nail</t>
  </si>
  <si>
    <t>nat</t>
  </si>
  <si>
    <t>nclh</t>
  </si>
  <si>
    <t>ndx</t>
  </si>
  <si>
    <t>nee</t>
  </si>
  <si>
    <t>nem</t>
  </si>
  <si>
    <t>net</t>
  </si>
  <si>
    <t>nfe</t>
  </si>
  <si>
    <t>nflx</t>
  </si>
  <si>
    <t>nio</t>
  </si>
  <si>
    <t>nke</t>
  </si>
  <si>
    <t>nkla</t>
  </si>
  <si>
    <t>nly</t>
  </si>
  <si>
    <t>nn</t>
  </si>
  <si>
    <t>nnox</t>
  </si>
  <si>
    <t>noc</t>
  </si>
  <si>
    <t>nog</t>
  </si>
  <si>
    <t>nok</t>
  </si>
  <si>
    <t>nova</t>
  </si>
  <si>
    <t>now</t>
  </si>
  <si>
    <t>nrg</t>
  </si>
  <si>
    <t>ntap</t>
  </si>
  <si>
    <t>nu</t>
  </si>
  <si>
    <t>nue</t>
  </si>
  <si>
    <t>nugt</t>
  </si>
  <si>
    <t>nvax</t>
  </si>
  <si>
    <t>nvda</t>
  </si>
  <si>
    <t>nvdl</t>
  </si>
  <si>
    <t>nvds</t>
  </si>
  <si>
    <t>nvdu</t>
  </si>
  <si>
    <t>nvdx</t>
  </si>
  <si>
    <t>nvdy</t>
  </si>
  <si>
    <t>nvo</t>
  </si>
  <si>
    <t>nvs</t>
  </si>
  <si>
    <t>nxe</t>
  </si>
  <si>
    <t>nxt</t>
  </si>
  <si>
    <t>nxtg</t>
  </si>
  <si>
    <t>o</t>
  </si>
  <si>
    <t>ocgn</t>
  </si>
  <si>
    <t>odfl</t>
  </si>
  <si>
    <t>oih</t>
  </si>
  <si>
    <t>okta</t>
  </si>
  <si>
    <t>on</t>
  </si>
  <si>
    <t>onon</t>
  </si>
  <si>
    <t>open</t>
  </si>
  <si>
    <t>opk</t>
  </si>
  <si>
    <t>or</t>
  </si>
  <si>
    <t>orcl</t>
  </si>
  <si>
    <t>oscr</t>
  </si>
  <si>
    <t>oxy</t>
  </si>
  <si>
    <t>paas</t>
  </si>
  <si>
    <t>panw</t>
  </si>
  <si>
    <t>para</t>
  </si>
  <si>
    <t>path</t>
  </si>
  <si>
    <t>pbf</t>
  </si>
  <si>
    <t>pbj</t>
  </si>
  <si>
    <t>pbr</t>
  </si>
  <si>
    <t>pct</t>
  </si>
  <si>
    <t>pdd</t>
  </si>
  <si>
    <t>pej</t>
  </si>
  <si>
    <t>penn</t>
  </si>
  <si>
    <t>pep</t>
  </si>
  <si>
    <t>pfe</t>
  </si>
  <si>
    <t>pff</t>
  </si>
  <si>
    <t>pg</t>
  </si>
  <si>
    <t>pgj</t>
  </si>
  <si>
    <t>pgr</t>
  </si>
  <si>
    <t>ph</t>
  </si>
  <si>
    <t>pins</t>
  </si>
  <si>
    <t>plce</t>
  </si>
  <si>
    <t>pltr</t>
  </si>
  <si>
    <t>plug</t>
  </si>
  <si>
    <t>pm</t>
  </si>
  <si>
    <t>pnqi</t>
  </si>
  <si>
    <t>ppa</t>
  </si>
  <si>
    <t>pr</t>
  </si>
  <si>
    <t>psec</t>
  </si>
  <si>
    <t>psi</t>
  </si>
  <si>
    <t>psq</t>
  </si>
  <si>
    <t>pstg</t>
  </si>
  <si>
    <t>psx</t>
  </si>
  <si>
    <t>ptc</t>
  </si>
  <si>
    <t>pton</t>
  </si>
  <si>
    <t>pwr</t>
  </si>
  <si>
    <t>pypl</t>
  </si>
  <si>
    <t>pzza</t>
  </si>
  <si>
    <t>qcom</t>
  </si>
  <si>
    <t>qid</t>
  </si>
  <si>
    <t>qld</t>
  </si>
  <si>
    <t>qqq</t>
  </si>
  <si>
    <t>qqqm</t>
  </si>
  <si>
    <t>qs</t>
  </si>
  <si>
    <t>quik</t>
  </si>
  <si>
    <t>race</t>
  </si>
  <si>
    <t>rblx</t>
  </si>
  <si>
    <t>rcl</t>
  </si>
  <si>
    <t>rddt</t>
  </si>
  <si>
    <t>rdfn</t>
  </si>
  <si>
    <t>rem</t>
  </si>
  <si>
    <t>remx</t>
  </si>
  <si>
    <t>rh</t>
  </si>
  <si>
    <t>rig</t>
  </si>
  <si>
    <t>rily</t>
  </si>
  <si>
    <t>rio</t>
  </si>
  <si>
    <t>riot</t>
  </si>
  <si>
    <t>ritm</t>
  </si>
  <si>
    <t>rivn</t>
  </si>
  <si>
    <t>rklb</t>
  </si>
  <si>
    <t>rkt</t>
  </si>
  <si>
    <t>robo</t>
  </si>
  <si>
    <t>rok</t>
  </si>
  <si>
    <t>roku</t>
  </si>
  <si>
    <t>root</t>
  </si>
  <si>
    <t>rost</t>
  </si>
  <si>
    <t>rsp</t>
  </si>
  <si>
    <t>rtx</t>
  </si>
  <si>
    <t>rum</t>
  </si>
  <si>
    <t>run</t>
  </si>
  <si>
    <t>rut</t>
  </si>
  <si>
    <t>rxrx</t>
  </si>
  <si>
    <t>s</t>
  </si>
  <si>
    <t>sam</t>
  </si>
  <si>
    <t>sanm</t>
  </si>
  <si>
    <t>sark</t>
  </si>
  <si>
    <t>sbsw</t>
  </si>
  <si>
    <t>sbux</t>
  </si>
  <si>
    <t>scco</t>
  </si>
  <si>
    <t>schd</t>
  </si>
  <si>
    <t>schw</t>
  </si>
  <si>
    <t>sco</t>
  </si>
  <si>
    <t>scz</t>
  </si>
  <si>
    <t>sdow</t>
  </si>
  <si>
    <t>sds</t>
  </si>
  <si>
    <t>se</t>
  </si>
  <si>
    <t>sedg</t>
  </si>
  <si>
    <t>sgml</t>
  </si>
  <si>
    <t>sh</t>
  </si>
  <si>
    <t>shak</t>
  </si>
  <si>
    <t>shop</t>
  </si>
  <si>
    <t>shot</t>
  </si>
  <si>
    <t>shv</t>
  </si>
  <si>
    <t>shy</t>
  </si>
  <si>
    <t>sil</t>
  </si>
  <si>
    <t>silj</t>
  </si>
  <si>
    <t>simo</t>
  </si>
  <si>
    <t>siri</t>
  </si>
  <si>
    <t>sivr</t>
  </si>
  <si>
    <t>sklz</t>
  </si>
  <si>
    <t>skyy</t>
  </si>
  <si>
    <t>slb</t>
  </si>
  <si>
    <t>slv</t>
  </si>
  <si>
    <t>smci</t>
  </si>
  <si>
    <t>smh</t>
  </si>
  <si>
    <t>smr</t>
  </si>
  <si>
    <t>snap</t>
  </si>
  <si>
    <t>sndl</t>
  </si>
  <si>
    <t>snow</t>
  </si>
  <si>
    <t>so</t>
  </si>
  <si>
    <t>socl</t>
  </si>
  <si>
    <t>sofi</t>
  </si>
  <si>
    <t>soun</t>
  </si>
  <si>
    <t>soxl</t>
  </si>
  <si>
    <t>soxs</t>
  </si>
  <si>
    <t>soxx</t>
  </si>
  <si>
    <t>spce</t>
  </si>
  <si>
    <t>spg</t>
  </si>
  <si>
    <t>sphb</t>
  </si>
  <si>
    <t>splg</t>
  </si>
  <si>
    <t>spot</t>
  </si>
  <si>
    <t>sptm</t>
  </si>
  <si>
    <t>spxl</t>
  </si>
  <si>
    <t>spxs</t>
  </si>
  <si>
    <t>spxu</t>
  </si>
  <si>
    <t>spy</t>
  </si>
  <si>
    <t>spyd</t>
  </si>
  <si>
    <t>spyg</t>
  </si>
  <si>
    <t>sqqq</t>
  </si>
  <si>
    <t>srg</t>
  </si>
  <si>
    <t>srpt</t>
  </si>
  <si>
    <t>sso</t>
  </si>
  <si>
    <t>stip</t>
  </si>
  <si>
    <t>stla</t>
  </si>
  <si>
    <t>stne</t>
  </si>
  <si>
    <t>stng</t>
  </si>
  <si>
    <t>stx</t>
  </si>
  <si>
    <t>svix</t>
  </si>
  <si>
    <t>svxy</t>
  </si>
  <si>
    <t>sym</t>
  </si>
  <si>
    <t>t</t>
  </si>
  <si>
    <t>tal</t>
  </si>
  <si>
    <t>tan</t>
  </si>
  <si>
    <t>tap</t>
  </si>
  <si>
    <t>tbt</t>
  </si>
  <si>
    <t>tdoc</t>
  </si>
  <si>
    <t>tdw</t>
  </si>
  <si>
    <t>team</t>
  </si>
  <si>
    <t>tecl</t>
  </si>
  <si>
    <t>tecs</t>
  </si>
  <si>
    <t>teva</t>
  </si>
  <si>
    <t>tfc</t>
  </si>
  <si>
    <t>tfpm</t>
  </si>
  <si>
    <t>tgls</t>
  </si>
  <si>
    <t>tgt</t>
  </si>
  <si>
    <t>tgtx</t>
  </si>
  <si>
    <t>tigr</t>
  </si>
  <si>
    <t>tip</t>
  </si>
  <si>
    <t>tjx</t>
  </si>
  <si>
    <t>tlry</t>
  </si>
  <si>
    <t>tlt</t>
  </si>
  <si>
    <t>tmc</t>
  </si>
  <si>
    <t>tmdx</t>
  </si>
  <si>
    <t>tme</t>
  </si>
  <si>
    <t>tmf</t>
  </si>
  <si>
    <t>tmo</t>
  </si>
  <si>
    <t>tmus</t>
  </si>
  <si>
    <t>tmv</t>
  </si>
  <si>
    <t>tna</t>
  </si>
  <si>
    <t>tost</t>
  </si>
  <si>
    <t>tqqq</t>
  </si>
  <si>
    <t>trv</t>
  </si>
  <si>
    <t>tsem</t>
  </si>
  <si>
    <t>tsla</t>
  </si>
  <si>
    <t>tsll</t>
  </si>
  <si>
    <t>tslt</t>
  </si>
  <si>
    <t>tsly</t>
  </si>
  <si>
    <t>tsm</t>
  </si>
  <si>
    <t>tsn</t>
  </si>
  <si>
    <t>ttd</t>
  </si>
  <si>
    <t>ttwo</t>
  </si>
  <si>
    <t>tua</t>
  </si>
  <si>
    <t>tur</t>
  </si>
  <si>
    <t>twlo</t>
  </si>
  <si>
    <t>txn</t>
  </si>
  <si>
    <t>tza</t>
  </si>
  <si>
    <t>tzoo</t>
  </si>
  <si>
    <t>u</t>
  </si>
  <si>
    <t>uaa</t>
  </si>
  <si>
    <t>ual</t>
  </si>
  <si>
    <t>uber</t>
  </si>
  <si>
    <t>ubs</t>
  </si>
  <si>
    <t>uco</t>
  </si>
  <si>
    <t>udn</t>
  </si>
  <si>
    <t>udow</t>
  </si>
  <si>
    <t>uec</t>
  </si>
  <si>
    <t>uga</t>
  </si>
  <si>
    <t>ulta</t>
  </si>
  <si>
    <t>umc</t>
  </si>
  <si>
    <t>unfi</t>
  </si>
  <si>
    <t>ung</t>
  </si>
  <si>
    <t>unh</t>
  </si>
  <si>
    <t>unp</t>
  </si>
  <si>
    <t>up</t>
  </si>
  <si>
    <t>upro</t>
  </si>
  <si>
    <t>ups</t>
  </si>
  <si>
    <t>upst</t>
  </si>
  <si>
    <t>upwk</t>
  </si>
  <si>
    <t>uri</t>
  </si>
  <si>
    <t>urnj</t>
  </si>
  <si>
    <t>urnm</t>
  </si>
  <si>
    <t>urty</t>
  </si>
  <si>
    <t>usb</t>
  </si>
  <si>
    <t>usd</t>
  </si>
  <si>
    <t>uso</t>
  </si>
  <si>
    <t>uup</t>
  </si>
  <si>
    <t>uuuu</t>
  </si>
  <si>
    <t>uvix</t>
  </si>
  <si>
    <t>uvxy</t>
  </si>
  <si>
    <t>v</t>
  </si>
  <si>
    <t>vale</t>
  </si>
  <si>
    <t>vb</t>
  </si>
  <si>
    <t>vea</t>
  </si>
  <si>
    <t>veri</t>
  </si>
  <si>
    <t>vfc</t>
  </si>
  <si>
    <t>vfs</t>
  </si>
  <si>
    <t>vgk</t>
  </si>
  <si>
    <t>vgt</t>
  </si>
  <si>
    <t>vice</t>
  </si>
  <si>
    <t>vici</t>
  </si>
  <si>
    <t>vig</t>
  </si>
  <si>
    <t>vitl</t>
  </si>
  <si>
    <t>vixy</t>
  </si>
  <si>
    <t>vktx</t>
  </si>
  <si>
    <t>vlo</t>
  </si>
  <si>
    <t>vly</t>
  </si>
  <si>
    <t>vmeo</t>
  </si>
  <si>
    <t>vnq</t>
  </si>
  <si>
    <t>vnqi</t>
  </si>
  <si>
    <t>vo</t>
  </si>
  <si>
    <t>vod</t>
  </si>
  <si>
    <t>voo</t>
  </si>
  <si>
    <t>vrt</t>
  </si>
  <si>
    <t>vsco</t>
  </si>
  <si>
    <t>vst</t>
  </si>
  <si>
    <t>vt</t>
  </si>
  <si>
    <t>vti</t>
  </si>
  <si>
    <t>vtrs</t>
  </si>
  <si>
    <t>vtv</t>
  </si>
  <si>
    <t>vug</t>
  </si>
  <si>
    <t>vwo</t>
  </si>
  <si>
    <t>vxus</t>
  </si>
  <si>
    <t>vxx</t>
  </si>
  <si>
    <t>vxz</t>
  </si>
  <si>
    <t>vym</t>
  </si>
  <si>
    <t>vz</t>
  </si>
  <si>
    <t>w</t>
  </si>
  <si>
    <t>wal</t>
  </si>
  <si>
    <t>wba</t>
  </si>
  <si>
    <t>wbd</t>
  </si>
  <si>
    <t>wday</t>
  </si>
  <si>
    <t>wdc</t>
  </si>
  <si>
    <t>weat</t>
  </si>
  <si>
    <t>wen</t>
  </si>
  <si>
    <t>wfc</t>
  </si>
  <si>
    <t>wgmi</t>
  </si>
  <si>
    <t>whr</t>
  </si>
  <si>
    <t>wing</t>
  </si>
  <si>
    <t>wm</t>
  </si>
  <si>
    <t>wmt</t>
  </si>
  <si>
    <t>wolf</t>
  </si>
  <si>
    <t>wpm</t>
  </si>
  <si>
    <t>wsm</t>
  </si>
  <si>
    <t>wulf</t>
  </si>
  <si>
    <t>ww</t>
  </si>
  <si>
    <t>wynn</t>
  </si>
  <si>
    <t>x</t>
  </si>
  <si>
    <t>xar</t>
  </si>
  <si>
    <t>xbi</t>
  </si>
  <si>
    <t>xhb</t>
  </si>
  <si>
    <t>xhe</t>
  </si>
  <si>
    <t>xlb</t>
  </si>
  <si>
    <t>xlc</t>
  </si>
  <si>
    <t>xle</t>
  </si>
  <si>
    <t>xlf</t>
  </si>
  <si>
    <t>xli</t>
  </si>
  <si>
    <t>xlk</t>
  </si>
  <si>
    <t>xlp</t>
  </si>
  <si>
    <t>xlre</t>
  </si>
  <si>
    <t>xlu</t>
  </si>
  <si>
    <t>xlv</t>
  </si>
  <si>
    <t>xly</t>
  </si>
  <si>
    <t>xme</t>
  </si>
  <si>
    <t>xom</t>
  </si>
  <si>
    <t>xop</t>
  </si>
  <si>
    <t>xp</t>
  </si>
  <si>
    <t>xpev</t>
  </si>
  <si>
    <t>xph</t>
  </si>
  <si>
    <t>xpo</t>
  </si>
  <si>
    <t>xrt</t>
  </si>
  <si>
    <t>xtn</t>
  </si>
  <si>
    <t>yang</t>
  </si>
  <si>
    <t>ycl</t>
  </si>
  <si>
    <t>ycs</t>
  </si>
  <si>
    <t>yinn</t>
  </si>
  <si>
    <t>ypf</t>
  </si>
  <si>
    <t>yy</t>
  </si>
  <si>
    <t>z</t>
  </si>
  <si>
    <t>zim</t>
  </si>
  <si>
    <t>zm</t>
  </si>
  <si>
    <t>zroz</t>
  </si>
  <si>
    <t>zs</t>
  </si>
  <si>
    <t>EARNINGS</t>
  </si>
  <si>
    <t>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</si>
</sst>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0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&quot;Aptos Narrow&quot;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&quot;Aptos Narrow&quot;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/>
    <xf numFmtId="2" fontId="8" fillId="2" borderId="1" xfId="0" applyNumberFormat="1" applyFont="1" applyFill="1" applyBorder="1"/>
    <xf numFmtId="3" fontId="5" fillId="2" borderId="1" xfId="0" applyNumberFormat="1" applyFont="1" applyFill="1" applyBorder="1"/>
    <xf numFmtId="1" fontId="5" fillId="2" borderId="1" xfId="0" applyNumberFormat="1" applyFont="1" applyFill="1" applyBorder="1"/>
    <xf numFmtId="2" fontId="5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8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8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2.6640625" defaultRowHeight="15.75" customHeight="1"/>
  <cols>
    <col min="1" max="1" width="10.1640625" customWidth="1"/>
    <col min="2" max="2" width="9.83203125" customWidth="1"/>
    <col min="3" max="5" width="21.83203125" customWidth="1"/>
    <col min="6" max="6" width="22.1640625" customWidth="1"/>
    <col min="7" max="7" width="22.5" customWidth="1"/>
    <col min="12" max="12" width="18" customWidth="1"/>
  </cols>
  <sheetData>
    <row r="1" spans="1:13" ht="16">
      <c r="A1" s="1" t="s">
        <v>0</v>
      </c>
      <c r="B1" s="2">
        <v>45688</v>
      </c>
    </row>
    <row r="2" spans="1:13" ht="16">
      <c r="A2" s="1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6">
        <v>865</v>
      </c>
    </row>
    <row r="3" spans="1:13" ht="16">
      <c r="A3" s="1" t="s">
        <v>13</v>
      </c>
      <c r="B3" s="7" t="s">
        <v>14</v>
      </c>
      <c r="C3" s="8">
        <v>38.549999999999997</v>
      </c>
      <c r="D3" s="8" t="s">
        <v>15</v>
      </c>
      <c r="E3" s="8">
        <v>32.090000000000003</v>
      </c>
      <c r="F3" s="8">
        <f ca="1">IFERROR(__xludf.DUMMYFUNCTION("INDEX(GOOGLEFINANCE(A3, ""open"", DATE(2025,2,3), DATE(2025,2,3)), 2, 2)"),34.18)</f>
        <v>34.18</v>
      </c>
      <c r="G3" s="8">
        <f ca="1">IFERROR(__xludf.DUMMYFUNCTION("INDEX(GOOGLEFINANCE(A3, ""close"", DATE(2025,2,7), DATE(2025,2,7)), 2, 2)"),36.12)</f>
        <v>36.119999999999997</v>
      </c>
      <c r="H3" s="9">
        <f t="shared" ref="H3:H257" ca="1" si="0">IF(B3="Bullish",((G3-F3)/F3*100),((F3-G3)/F3*100))</f>
        <v>5.6758338209479158</v>
      </c>
      <c r="I3" s="10">
        <f t="shared" ref="I3:I257" ca="1" si="1">1000*H3/100</f>
        <v>56.758338209479163</v>
      </c>
      <c r="J3" s="10" t="str">
        <f t="shared" ref="J3:J257" si="2">IF(B3="Bullish","Put Spread","Call Spread")</f>
        <v>Put Spread</v>
      </c>
      <c r="K3" s="10" t="str">
        <f t="shared" ref="K3:K257" ca="1" si="3">IF(B3="Bullish",IF(G3-E3&gt;0,"Success","No"),IF(B3="Bearish",IF(E3-G3&gt;0,"Success","No")))</f>
        <v>Success</v>
      </c>
      <c r="L3" s="11" t="s">
        <v>16</v>
      </c>
      <c r="M3" s="12"/>
    </row>
    <row r="4" spans="1:13" ht="16">
      <c r="A4" s="1" t="s">
        <v>17</v>
      </c>
      <c r="B4" s="7" t="s">
        <v>14</v>
      </c>
      <c r="C4" s="8">
        <v>17.87</v>
      </c>
      <c r="D4" s="8" t="s">
        <v>15</v>
      </c>
      <c r="E4" s="8">
        <v>15.97</v>
      </c>
      <c r="F4" s="8">
        <f ca="1">IFERROR(__xludf.DUMMYFUNCTION("INDEX(GOOGLEFINANCE(A4, ""open"", DATE(2025,2,3), DATE(2025,2,3)), 2, 2)"),16.39)</f>
        <v>16.39</v>
      </c>
      <c r="G4" s="8">
        <f ca="1">IFERROR(__xludf.DUMMYFUNCTION("INDEX(GOOGLEFINANCE(A4, ""close"", DATE(2025,2,7), DATE(2025,2,7)), 2, 2)"),17.17)</f>
        <v>17.170000000000002</v>
      </c>
      <c r="H4" s="9">
        <f t="shared" ca="1" si="0"/>
        <v>4.7589993898718799</v>
      </c>
      <c r="I4" s="10">
        <f t="shared" ca="1" si="1"/>
        <v>47.589993898718795</v>
      </c>
      <c r="J4" s="10" t="str">
        <f t="shared" si="2"/>
        <v>Put Spread</v>
      </c>
      <c r="K4" s="10" t="str">
        <f t="shared" ca="1" si="3"/>
        <v>Success</v>
      </c>
      <c r="L4" s="6" t="s">
        <v>18</v>
      </c>
      <c r="M4" s="13">
        <f ca="1">COUNTIF(I1:I2938,"&gt;0")/M2*100</f>
        <v>65.780346820809243</v>
      </c>
    </row>
    <row r="5" spans="1:13" ht="16">
      <c r="A5" s="1" t="s">
        <v>19</v>
      </c>
      <c r="B5" s="7" t="s">
        <v>14</v>
      </c>
      <c r="C5" s="8">
        <v>34.1</v>
      </c>
      <c r="D5" s="8" t="s">
        <v>15</v>
      </c>
      <c r="E5" s="8">
        <v>21.74</v>
      </c>
      <c r="F5" s="8">
        <f ca="1">IFERROR(__xludf.DUMMYFUNCTION("INDEX(GOOGLEFINANCE(A5, ""open"", DATE(2025,2,3), DATE(2025,2,3)), 2, 2)"),26.27)</f>
        <v>26.27</v>
      </c>
      <c r="G5" s="8">
        <f ca="1">IFERROR(__xludf.DUMMYFUNCTION("INDEX(GOOGLEFINANCE(A5, ""close"", DATE(2025,2,7), DATE(2025,2,7)), 2, 2)"),29.61)</f>
        <v>29.61</v>
      </c>
      <c r="H5" s="9">
        <f t="shared" ca="1" si="0"/>
        <v>12.714122573277503</v>
      </c>
      <c r="I5" s="10">
        <f t="shared" ca="1" si="1"/>
        <v>127.14122573277504</v>
      </c>
      <c r="J5" s="10" t="str">
        <f t="shared" si="2"/>
        <v>Put Spread</v>
      </c>
      <c r="K5" s="10" t="str">
        <f t="shared" ca="1" si="3"/>
        <v>Success</v>
      </c>
      <c r="L5" s="6" t="s">
        <v>20</v>
      </c>
      <c r="M5" s="14">
        <f>M2*1000</f>
        <v>865000</v>
      </c>
    </row>
    <row r="6" spans="1:13" ht="16">
      <c r="A6" s="1" t="s">
        <v>21</v>
      </c>
      <c r="B6" s="7" t="s">
        <v>14</v>
      </c>
      <c r="C6" s="8">
        <v>52.98</v>
      </c>
      <c r="D6" s="8" t="s">
        <v>15</v>
      </c>
      <c r="E6" s="8">
        <v>44.02</v>
      </c>
      <c r="F6" s="8">
        <f ca="1">IFERROR(__xludf.DUMMYFUNCTION("INDEX(GOOGLEFINANCE(A6, ""open"", DATE(2025,2,3), DATE(2025,2,3)), 2, 2)"),47.14)</f>
        <v>47.14</v>
      </c>
      <c r="G6" s="8">
        <f ca="1">IFERROR(__xludf.DUMMYFUNCTION("INDEX(GOOGLEFINANCE(A6, ""close"", DATE(2025,2,7), DATE(2025,2,7)), 2, 2)"),45.95)</f>
        <v>45.95</v>
      </c>
      <c r="H6" s="9">
        <f t="shared" ca="1" si="0"/>
        <v>-2.5243954179041106</v>
      </c>
      <c r="I6" s="10">
        <f t="shared" ca="1" si="1"/>
        <v>-25.243954179041108</v>
      </c>
      <c r="J6" s="10" t="str">
        <f t="shared" si="2"/>
        <v>Put Spread</v>
      </c>
      <c r="K6" s="10" t="str">
        <f t="shared" ca="1" si="3"/>
        <v>Success</v>
      </c>
      <c r="L6" s="6" t="s">
        <v>9</v>
      </c>
      <c r="M6" s="15">
        <f ca="1">SUM(I:I)</f>
        <v>20634.019621457956</v>
      </c>
    </row>
    <row r="7" spans="1:13" ht="16">
      <c r="A7" s="1" t="s">
        <v>22</v>
      </c>
      <c r="B7" s="7" t="s">
        <v>14</v>
      </c>
      <c r="C7" s="8">
        <v>244.11</v>
      </c>
      <c r="D7" s="8" t="s">
        <v>15</v>
      </c>
      <c r="E7" s="8">
        <v>227.89</v>
      </c>
      <c r="F7" s="8">
        <f ca="1">IFERROR(__xludf.DUMMYFUNCTION("INDEX(GOOGLEFINANCE(A7, ""open"", DATE(2025,2,3), DATE(2025,2,3)), 2, 2)"),229.99)</f>
        <v>229.99</v>
      </c>
      <c r="G7" s="8">
        <f ca="1">IFERROR(__xludf.DUMMYFUNCTION("INDEX(GOOGLEFINANCE(A7, ""close"", DATE(2025,2,7), DATE(2025,2,7)), 2, 2)"),227.63)</f>
        <v>227.63</v>
      </c>
      <c r="H7" s="9">
        <f t="shared" ca="1" si="0"/>
        <v>-1.0261315709378727</v>
      </c>
      <c r="I7" s="10">
        <f t="shared" ca="1" si="1"/>
        <v>-10.261315709378728</v>
      </c>
      <c r="J7" s="10" t="str">
        <f t="shared" si="2"/>
        <v>Put Spread</v>
      </c>
      <c r="K7" s="10" t="str">
        <f t="shared" ca="1" si="3"/>
        <v>No</v>
      </c>
      <c r="L7" s="6" t="s">
        <v>23</v>
      </c>
      <c r="M7" s="16">
        <f ca="1">M6/M5*100</f>
        <v>2.385435794388203</v>
      </c>
    </row>
    <row r="8" spans="1:13" ht="16">
      <c r="A8" s="1" t="s">
        <v>24</v>
      </c>
      <c r="B8" s="7" t="s">
        <v>14</v>
      </c>
      <c r="C8" s="8">
        <v>189.31</v>
      </c>
      <c r="D8" s="8" t="s">
        <v>15</v>
      </c>
      <c r="E8" s="8">
        <v>178.49</v>
      </c>
      <c r="F8" s="8">
        <f ca="1">IFERROR(__xludf.DUMMYFUNCTION("INDEX(GOOGLEFINANCE(A8, ""open"", DATE(2025,2,3), DATE(2025,2,3)), 2, 2)"),183.18)</f>
        <v>183.18</v>
      </c>
      <c r="G8" s="8">
        <f ca="1">IFERROR(__xludf.DUMMYFUNCTION("INDEX(GOOGLEFINANCE(A8, ""close"", DATE(2025,2,7), DATE(2025,2,7)), 2, 2)"),190.6)</f>
        <v>190.6</v>
      </c>
      <c r="H8" s="9">
        <f t="shared" ca="1" si="0"/>
        <v>4.0506605524620518</v>
      </c>
      <c r="I8" s="10">
        <f t="shared" ca="1" si="1"/>
        <v>40.506605524620518</v>
      </c>
      <c r="J8" s="10" t="str">
        <f t="shared" si="2"/>
        <v>Put Spread</v>
      </c>
      <c r="K8" s="10" t="str">
        <f t="shared" ca="1" si="3"/>
        <v>Success</v>
      </c>
    </row>
    <row r="9" spans="1:13" ht="16">
      <c r="A9" s="1" t="s">
        <v>25</v>
      </c>
      <c r="B9" s="7" t="s">
        <v>14</v>
      </c>
      <c r="C9" s="8">
        <v>1.93</v>
      </c>
      <c r="D9" s="8" t="s">
        <v>15</v>
      </c>
      <c r="E9" s="8">
        <v>1.77</v>
      </c>
      <c r="F9" s="8">
        <f ca="1">IFERROR(__xludf.DUMMYFUNCTION("INDEX(GOOGLEFINANCE(A9, ""open"", DATE(2025,2,3), DATE(2025,2,3)), 2, 2)"),1.84)</f>
        <v>1.84</v>
      </c>
      <c r="G9" s="8">
        <f ca="1">IFERROR(__xludf.DUMMYFUNCTION("INDEX(GOOGLEFINANCE(A9, ""close"", DATE(2025,2,7), DATE(2025,2,7)), 2, 2)"),1.84)</f>
        <v>1.84</v>
      </c>
      <c r="H9" s="9">
        <f t="shared" ca="1" si="0"/>
        <v>0</v>
      </c>
      <c r="I9" s="10">
        <f t="shared" ca="1" si="1"/>
        <v>0</v>
      </c>
      <c r="J9" s="10" t="str">
        <f t="shared" si="2"/>
        <v>Put Spread</v>
      </c>
      <c r="K9" s="10" t="str">
        <f t="shared" ca="1" si="3"/>
        <v>Success</v>
      </c>
      <c r="L9" s="11" t="s">
        <v>26</v>
      </c>
    </row>
    <row r="10" spans="1:13" ht="16">
      <c r="A10" s="1" t="s">
        <v>27</v>
      </c>
      <c r="B10" s="7" t="s">
        <v>14</v>
      </c>
      <c r="C10" s="8">
        <v>139.83000000000001</v>
      </c>
      <c r="D10" s="8" t="s">
        <v>15</v>
      </c>
      <c r="E10" s="8">
        <v>122.51</v>
      </c>
      <c r="F10" s="8">
        <f ca="1">IFERROR(__xludf.DUMMYFUNCTION("INDEX(GOOGLEFINANCE(A10, ""open"", DATE(2025,2,3), DATE(2025,2,3)), 2, 2)"),129.19)</f>
        <v>129.19</v>
      </c>
      <c r="G10" s="8">
        <f ca="1">IFERROR(__xludf.DUMMYFUNCTION("INDEX(GOOGLEFINANCE(A10, ""close"", DATE(2025,2,7), DATE(2025,2,7)), 2, 2)"),134.98)</f>
        <v>134.97999999999999</v>
      </c>
      <c r="H10" s="9">
        <f t="shared" ca="1" si="0"/>
        <v>4.4817710349098165</v>
      </c>
      <c r="I10" s="10">
        <f t="shared" ca="1" si="1"/>
        <v>44.817710349098171</v>
      </c>
      <c r="J10" s="10" t="str">
        <f t="shared" si="2"/>
        <v>Put Spread</v>
      </c>
      <c r="K10" s="10" t="str">
        <f t="shared" ca="1" si="3"/>
        <v>Success</v>
      </c>
      <c r="L10" s="6" t="s">
        <v>18</v>
      </c>
      <c r="M10" s="17">
        <f ca="1">COUNTIF(K:K,"Success")/M2*100</f>
        <v>92.48554913294798</v>
      </c>
    </row>
    <row r="11" spans="1:13" ht="16">
      <c r="A11" s="1" t="s">
        <v>28</v>
      </c>
      <c r="B11" s="7" t="s">
        <v>14</v>
      </c>
      <c r="C11" s="8">
        <v>13.92</v>
      </c>
      <c r="D11" s="8" t="s">
        <v>15</v>
      </c>
      <c r="E11" s="8">
        <v>12.86</v>
      </c>
      <c r="F11" s="8">
        <f ca="1">IFERROR(__xludf.DUMMYFUNCTION("INDEX(GOOGLEFINANCE(A11, ""open"", DATE(2025,2,3), DATE(2025,2,3)), 2, 2)"),13.03)</f>
        <v>13.03</v>
      </c>
      <c r="G11" s="8">
        <f ca="1">IFERROR(__xludf.DUMMYFUNCTION("INDEX(GOOGLEFINANCE(A11, ""close"", DATE(2025,2,7), DATE(2025,2,7)), 2, 2)"),13.75)</f>
        <v>13.75</v>
      </c>
      <c r="H11" s="9">
        <f t="shared" ca="1" si="0"/>
        <v>5.5257099002302432</v>
      </c>
      <c r="I11" s="10">
        <f t="shared" ca="1" si="1"/>
        <v>55.257099002302432</v>
      </c>
      <c r="J11" s="10" t="str">
        <f t="shared" si="2"/>
        <v>Put Spread</v>
      </c>
      <c r="K11" s="10" t="str">
        <f t="shared" ca="1" si="3"/>
        <v>Success</v>
      </c>
    </row>
    <row r="12" spans="1:13" ht="16">
      <c r="A12" s="1" t="s">
        <v>29</v>
      </c>
      <c r="B12" s="7" t="s">
        <v>14</v>
      </c>
      <c r="C12" s="8">
        <v>131.19</v>
      </c>
      <c r="D12" s="8" t="s">
        <v>15</v>
      </c>
      <c r="E12" s="8">
        <v>124.67</v>
      </c>
      <c r="F12" s="8">
        <f ca="1">IFERROR(__xludf.DUMMYFUNCTION("INDEX(GOOGLEFINANCE(A12, ""open"", DATE(2025,2,3), DATE(2025,2,3)), 2, 2)"),126.65)</f>
        <v>126.65</v>
      </c>
      <c r="G12" s="8">
        <f ca="1">IFERROR(__xludf.DUMMYFUNCTION("INDEX(GOOGLEFINANCE(A12, ""close"", DATE(2025,2,7), DATE(2025,2,7)), 2, 2)"),129.07)</f>
        <v>129.07</v>
      </c>
      <c r="H12" s="9">
        <f t="shared" ca="1" si="0"/>
        <v>1.9107777339123468</v>
      </c>
      <c r="I12" s="10">
        <f t="shared" ca="1" si="1"/>
        <v>19.107777339123469</v>
      </c>
      <c r="J12" s="10" t="str">
        <f t="shared" si="2"/>
        <v>Put Spread</v>
      </c>
      <c r="K12" s="10" t="str">
        <f t="shared" ca="1" si="3"/>
        <v>Success</v>
      </c>
    </row>
    <row r="13" spans="1:13" ht="16">
      <c r="A13" s="1" t="s">
        <v>30</v>
      </c>
      <c r="B13" s="7" t="s">
        <v>14</v>
      </c>
      <c r="C13" s="8">
        <v>3.6</v>
      </c>
      <c r="D13" s="8" t="s">
        <v>15</v>
      </c>
      <c r="E13" s="8">
        <v>3.06</v>
      </c>
      <c r="F13" s="8">
        <f ca="1">IFERROR(__xludf.DUMMYFUNCTION("INDEX(GOOGLEFINANCE(A13, ""open"", DATE(2025,2,3), DATE(2025,2,3)), 2, 2)"),3.28)</f>
        <v>3.28</v>
      </c>
      <c r="G13" s="8">
        <f ca="1">IFERROR(__xludf.DUMMYFUNCTION("INDEX(GOOGLEFINANCE(A13, ""close"", DATE(2025,2,7), DATE(2025,2,7)), 2, 2)"),3.43)</f>
        <v>3.43</v>
      </c>
      <c r="H13" s="9">
        <f t="shared" ca="1" si="0"/>
        <v>4.5731707317073278</v>
      </c>
      <c r="I13" s="10">
        <f t="shared" ca="1" si="1"/>
        <v>45.73170731707328</v>
      </c>
      <c r="J13" s="10" t="str">
        <f t="shared" si="2"/>
        <v>Put Spread</v>
      </c>
      <c r="K13" s="10" t="str">
        <f t="shared" ca="1" si="3"/>
        <v>Success</v>
      </c>
    </row>
    <row r="14" spans="1:13" ht="16">
      <c r="A14" s="1" t="s">
        <v>31</v>
      </c>
      <c r="B14" s="7" t="s">
        <v>14</v>
      </c>
      <c r="C14" s="8">
        <v>19.850000000000001</v>
      </c>
      <c r="D14" s="8" t="s">
        <v>15</v>
      </c>
      <c r="E14" s="8">
        <v>17.47</v>
      </c>
      <c r="F14" s="8">
        <f ca="1">IFERROR(__xludf.DUMMYFUNCTION("INDEX(GOOGLEFINANCE(A14, ""open"", DATE(2025,2,3), DATE(2025,2,3)), 2, 2)"),18.26)</f>
        <v>18.260000000000002</v>
      </c>
      <c r="G14" s="8">
        <f ca="1">IFERROR(__xludf.DUMMYFUNCTION("INDEX(GOOGLEFINANCE(A14, ""close"", DATE(2025,2,7), DATE(2025,2,7)), 2, 2)"),18.55)</f>
        <v>18.55</v>
      </c>
      <c r="H14" s="9">
        <f t="shared" ca="1" si="0"/>
        <v>1.5881708652792943</v>
      </c>
      <c r="I14" s="10">
        <f t="shared" ca="1" si="1"/>
        <v>15.881708652792943</v>
      </c>
      <c r="J14" s="10" t="str">
        <f t="shared" si="2"/>
        <v>Put Spread</v>
      </c>
      <c r="K14" s="10" t="str">
        <f t="shared" ca="1" si="3"/>
        <v>Success</v>
      </c>
    </row>
    <row r="15" spans="1:13" ht="16">
      <c r="A15" s="1" t="s">
        <v>32</v>
      </c>
      <c r="B15" s="7" t="s">
        <v>14</v>
      </c>
      <c r="C15" s="8">
        <v>4.08</v>
      </c>
      <c r="D15" s="8" t="s">
        <v>15</v>
      </c>
      <c r="E15" s="8">
        <v>3.22</v>
      </c>
      <c r="F15" s="8">
        <f ca="1">IFERROR(__xludf.DUMMYFUNCTION("INDEX(GOOGLEFINANCE(A15, ""open"", DATE(2025,2,3), DATE(2025,2,3)), 2, 2)"),3.55)</f>
        <v>3.55</v>
      </c>
      <c r="G15" s="8">
        <f ca="1">IFERROR(__xludf.DUMMYFUNCTION("INDEX(GOOGLEFINANCE(A15, ""close"", DATE(2025,2,7), DATE(2025,2,7)), 2, 2)"),6.03)</f>
        <v>6.03</v>
      </c>
      <c r="H15" s="9">
        <f t="shared" ca="1" si="0"/>
        <v>69.859154929577485</v>
      </c>
      <c r="I15" s="10">
        <f t="shared" ca="1" si="1"/>
        <v>698.59154929577494</v>
      </c>
      <c r="J15" s="10" t="str">
        <f t="shared" si="2"/>
        <v>Put Spread</v>
      </c>
      <c r="K15" s="10" t="str">
        <f t="shared" ca="1" si="3"/>
        <v>Success</v>
      </c>
    </row>
    <row r="16" spans="1:13" ht="16">
      <c r="A16" s="1" t="s">
        <v>33</v>
      </c>
      <c r="B16" s="7" t="s">
        <v>14</v>
      </c>
      <c r="C16" s="8">
        <v>11.22</v>
      </c>
      <c r="D16" s="8" t="s">
        <v>15</v>
      </c>
      <c r="E16" s="8">
        <v>7.68</v>
      </c>
      <c r="F16" s="8">
        <f ca="1">IFERROR(__xludf.DUMMYFUNCTION("INDEX(GOOGLEFINANCE(A16, ""open"", DATE(2025,2,3), DATE(2025,2,3)), 2, 2)"),8.81)</f>
        <v>8.81</v>
      </c>
      <c r="G16" s="8">
        <f ca="1">IFERROR(__xludf.DUMMYFUNCTION("INDEX(GOOGLEFINANCE(A16, ""close"", DATE(2025,2,7), DATE(2025,2,7)), 2, 2)"),9.02)</f>
        <v>9.02</v>
      </c>
      <c r="H16" s="9">
        <f t="shared" ca="1" si="0"/>
        <v>2.3836549375709315</v>
      </c>
      <c r="I16" s="10">
        <f t="shared" ca="1" si="1"/>
        <v>23.836549375709314</v>
      </c>
      <c r="J16" s="10" t="str">
        <f t="shared" si="2"/>
        <v>Put Spread</v>
      </c>
      <c r="K16" s="10" t="str">
        <f t="shared" ca="1" si="3"/>
        <v>Success</v>
      </c>
    </row>
    <row r="17" spans="1:11" ht="16">
      <c r="A17" s="1" t="s">
        <v>34</v>
      </c>
      <c r="B17" s="7" t="s">
        <v>14</v>
      </c>
      <c r="C17" s="8">
        <v>20.66</v>
      </c>
      <c r="D17" s="8" t="s">
        <v>15</v>
      </c>
      <c r="E17" s="8">
        <v>19.440000000000001</v>
      </c>
      <c r="F17" s="8">
        <f ca="1">IFERROR(__xludf.DUMMYFUNCTION("INDEX(GOOGLEFINANCE(A17, ""open"", DATE(2025,2,3), DATE(2025,2,3)), 2, 2)"),19.78)</f>
        <v>19.78</v>
      </c>
      <c r="G17" s="8">
        <f ca="1">IFERROR(__xludf.DUMMYFUNCTION("INDEX(GOOGLEFINANCE(A17, ""close"", DATE(2025,2,7), DATE(2025,2,7)), 2, 2)"),20.89)</f>
        <v>20.89</v>
      </c>
      <c r="H17" s="9">
        <f t="shared" ca="1" si="0"/>
        <v>5.6117290192113218</v>
      </c>
      <c r="I17" s="10">
        <f t="shared" ca="1" si="1"/>
        <v>56.117290192113217</v>
      </c>
      <c r="J17" s="10" t="str">
        <f t="shared" si="2"/>
        <v>Put Spread</v>
      </c>
      <c r="K17" s="10" t="str">
        <f t="shared" ca="1" si="3"/>
        <v>Success</v>
      </c>
    </row>
    <row r="18" spans="1:11" ht="16">
      <c r="A18" s="1" t="s">
        <v>35</v>
      </c>
      <c r="B18" s="7" t="s">
        <v>14</v>
      </c>
      <c r="C18" s="8">
        <v>74.63</v>
      </c>
      <c r="D18" s="8" t="s">
        <v>15</v>
      </c>
      <c r="E18" s="8">
        <v>61.37</v>
      </c>
      <c r="F18" s="8">
        <f ca="1">IFERROR(__xludf.DUMMYFUNCTION("INDEX(GOOGLEFINANCE(A18, ""open"", DATE(2025,2,3), DATE(2025,2,3)), 2, 2)"),66.06)</f>
        <v>66.06</v>
      </c>
      <c r="G18" s="8">
        <f ca="1">IFERROR(__xludf.DUMMYFUNCTION("INDEX(GOOGLEFINANCE(A18, ""close"", DATE(2025,2,7), DATE(2025,2,7)), 2, 2)"),63.87)</f>
        <v>63.87</v>
      </c>
      <c r="H18" s="9">
        <f t="shared" ca="1" si="0"/>
        <v>-3.3151680290644943</v>
      </c>
      <c r="I18" s="10">
        <f t="shared" ca="1" si="1"/>
        <v>-33.151680290644947</v>
      </c>
      <c r="J18" s="10" t="str">
        <f t="shared" si="2"/>
        <v>Put Spread</v>
      </c>
      <c r="K18" s="10" t="str">
        <f t="shared" ca="1" si="3"/>
        <v>Success</v>
      </c>
    </row>
    <row r="19" spans="1:11" ht="16">
      <c r="A19" s="1" t="s">
        <v>36</v>
      </c>
      <c r="B19" s="7" t="s">
        <v>14</v>
      </c>
      <c r="C19" s="8">
        <v>397.28</v>
      </c>
      <c r="D19" s="8" t="s">
        <v>15</v>
      </c>
      <c r="E19" s="8">
        <v>372.62</v>
      </c>
      <c r="F19" s="8">
        <f ca="1">IFERROR(__xludf.DUMMYFUNCTION("INDEX(GOOGLEFINANCE(A19, ""open"", DATE(2025,2,3), DATE(2025,2,3)), 2, 2)"),381.14)</f>
        <v>381.14</v>
      </c>
      <c r="G19" s="8">
        <f ca="1">IFERROR(__xludf.DUMMYFUNCTION("INDEX(GOOGLEFINANCE(A19, ""close"", DATE(2025,2,7), DATE(2025,2,7)), 2, 2)"),385.98)</f>
        <v>385.98</v>
      </c>
      <c r="H19" s="9">
        <f t="shared" ca="1" si="0"/>
        <v>1.2698745867660262</v>
      </c>
      <c r="I19" s="10">
        <f t="shared" ca="1" si="1"/>
        <v>12.698745867660261</v>
      </c>
      <c r="J19" s="10" t="str">
        <f t="shared" si="2"/>
        <v>Put Spread</v>
      </c>
      <c r="K19" s="10" t="str">
        <f t="shared" ca="1" si="3"/>
        <v>Success</v>
      </c>
    </row>
    <row r="20" spans="1:11" ht="16">
      <c r="A20" s="1" t="s">
        <v>37</v>
      </c>
      <c r="B20" s="7" t="s">
        <v>38</v>
      </c>
      <c r="C20" s="8">
        <v>412.92</v>
      </c>
      <c r="D20" s="8" t="s">
        <v>39</v>
      </c>
      <c r="E20" s="8">
        <v>461.98</v>
      </c>
      <c r="F20" s="8">
        <f ca="1">IFERROR(__xludf.DUMMYFUNCTION("INDEX(GOOGLEFINANCE(A20, ""open"", DATE(2025,2,3), DATE(2025,2,3)), 2, 2)"),437.8)</f>
        <v>437.8</v>
      </c>
      <c r="G20" s="8">
        <f ca="1">IFERROR(__xludf.DUMMYFUNCTION("INDEX(GOOGLEFINANCE(A20, ""close"", DATE(2025,2,7), DATE(2025,2,7)), 2, 2)"),433.07)</f>
        <v>433.07</v>
      </c>
      <c r="H20" s="9">
        <f t="shared" ca="1" si="0"/>
        <v>1.0804020100502554</v>
      </c>
      <c r="I20" s="10">
        <f t="shared" ca="1" si="1"/>
        <v>10.804020100502553</v>
      </c>
      <c r="J20" s="10" t="str">
        <f t="shared" si="2"/>
        <v>Call Spread</v>
      </c>
      <c r="K20" s="10" t="str">
        <f t="shared" ca="1" si="3"/>
        <v>Success</v>
      </c>
    </row>
    <row r="21" spans="1:11" ht="16">
      <c r="A21" s="1" t="s">
        <v>40</v>
      </c>
      <c r="B21" s="7" t="s">
        <v>14</v>
      </c>
      <c r="C21" s="8">
        <v>221.42</v>
      </c>
      <c r="D21" s="8" t="s">
        <v>15</v>
      </c>
      <c r="E21" s="8">
        <v>202.36</v>
      </c>
      <c r="F21" s="8">
        <f ca="1">IFERROR(__xludf.DUMMYFUNCTION("INDEX(GOOGLEFINANCE(A21, ""open"", DATE(2025,2,3), DATE(2025,2,3)), 2, 2)"),209.29)</f>
        <v>209.29</v>
      </c>
      <c r="G21" s="8">
        <f ca="1">IFERROR(__xludf.DUMMYFUNCTION("INDEX(GOOGLEFINANCE(A21, ""close"", DATE(2025,2,7), DATE(2025,2,7)), 2, 2)"),205.21)</f>
        <v>205.21</v>
      </c>
      <c r="H21" s="9">
        <f t="shared" ca="1" si="0"/>
        <v>-1.9494481341678935</v>
      </c>
      <c r="I21" s="10">
        <f t="shared" ca="1" si="1"/>
        <v>-19.494481341678934</v>
      </c>
      <c r="J21" s="10" t="str">
        <f t="shared" si="2"/>
        <v>Put Spread</v>
      </c>
      <c r="K21" s="10" t="str">
        <f t="shared" ca="1" si="3"/>
        <v>Success</v>
      </c>
    </row>
    <row r="22" spans="1:11" ht="16">
      <c r="A22" s="1" t="s">
        <v>41</v>
      </c>
      <c r="B22" s="7" t="s">
        <v>14</v>
      </c>
      <c r="C22" s="8">
        <v>53.27</v>
      </c>
      <c r="D22" s="8" t="s">
        <v>15</v>
      </c>
      <c r="E22" s="8">
        <v>49.19</v>
      </c>
      <c r="F22" s="8">
        <f ca="1">IFERROR(__xludf.DUMMYFUNCTION("INDEX(GOOGLEFINANCE(A22, ""open"", DATE(2025,2,3), DATE(2025,2,3)), 2, 2)"),50.88)</f>
        <v>50.88</v>
      </c>
      <c r="G22" s="8">
        <f ca="1">IFERROR(__xludf.DUMMYFUNCTION("INDEX(GOOGLEFINANCE(A22, ""close"", DATE(2025,2,7), DATE(2025,2,7)), 2, 2)"),45.76)</f>
        <v>45.76</v>
      </c>
      <c r="H22" s="9">
        <f t="shared" ca="1" si="0"/>
        <v>-10.062893081761015</v>
      </c>
      <c r="I22" s="10">
        <f t="shared" ca="1" si="1"/>
        <v>-100.62893081761014</v>
      </c>
      <c r="J22" s="10" t="str">
        <f t="shared" si="2"/>
        <v>Put Spread</v>
      </c>
      <c r="K22" s="10" t="str">
        <f t="shared" ca="1" si="3"/>
        <v>No</v>
      </c>
    </row>
    <row r="23" spans="1:11" ht="16">
      <c r="A23" s="1" t="s">
        <v>42</v>
      </c>
      <c r="B23" s="7" t="s">
        <v>14</v>
      </c>
      <c r="C23" s="8">
        <v>326.27999999999997</v>
      </c>
      <c r="D23" s="8" t="s">
        <v>15</v>
      </c>
      <c r="E23" s="8">
        <v>296.39999999999998</v>
      </c>
      <c r="F23" s="8">
        <f ca="1">IFERROR(__xludf.DUMMYFUNCTION("INDEX(GOOGLEFINANCE(A23, ""open"", DATE(2025,2,3), DATE(2025,2,3)), 2, 2)"),309.11)</f>
        <v>309.11</v>
      </c>
      <c r="G23" s="8">
        <f ca="1">IFERROR(__xludf.DUMMYFUNCTION("INDEX(GOOGLEFINANCE(A23, ""close"", DATE(2025,2,7), DATE(2025,2,7)), 2, 2)"),301.15)</f>
        <v>301.14999999999998</v>
      </c>
      <c r="H23" s="9">
        <f t="shared" ca="1" si="0"/>
        <v>-2.5751350651871618</v>
      </c>
      <c r="I23" s="10">
        <f t="shared" ca="1" si="1"/>
        <v>-25.751350651871618</v>
      </c>
      <c r="J23" s="10" t="str">
        <f t="shared" si="2"/>
        <v>Put Spread</v>
      </c>
      <c r="K23" s="10" t="str">
        <f t="shared" ca="1" si="3"/>
        <v>Success</v>
      </c>
    </row>
    <row r="24" spans="1:11" ht="16">
      <c r="A24" s="1" t="s">
        <v>43</v>
      </c>
      <c r="B24" s="7" t="s">
        <v>14</v>
      </c>
      <c r="C24" s="8">
        <v>12.41</v>
      </c>
      <c r="D24" s="8" t="s">
        <v>15</v>
      </c>
      <c r="E24" s="8">
        <v>10.25</v>
      </c>
      <c r="F24" s="8">
        <f ca="1">IFERROR(__xludf.DUMMYFUNCTION("INDEX(GOOGLEFINANCE(A24, ""open"", DATE(2025,2,3), DATE(2025,2,3)), 2, 2)"),10.79)</f>
        <v>10.79</v>
      </c>
      <c r="G24" s="8">
        <f ca="1">IFERROR(__xludf.DUMMYFUNCTION("INDEX(GOOGLEFINANCE(A24, ""close"", DATE(2025,2,7), DATE(2025,2,7)), 2, 2)"),10.78)</f>
        <v>10.78</v>
      </c>
      <c r="H24" s="9">
        <f t="shared" ca="1" si="0"/>
        <v>-9.2678405931416005E-2</v>
      </c>
      <c r="I24" s="10">
        <f t="shared" ca="1" si="1"/>
        <v>-0.92678405931416008</v>
      </c>
      <c r="J24" s="10" t="str">
        <f t="shared" si="2"/>
        <v>Put Spread</v>
      </c>
      <c r="K24" s="10" t="str">
        <f t="shared" ca="1" si="3"/>
        <v>Success</v>
      </c>
    </row>
    <row r="25" spans="1:11" ht="16">
      <c r="A25" s="1" t="s">
        <v>44</v>
      </c>
      <c r="B25" s="7" t="s">
        <v>14</v>
      </c>
      <c r="C25" s="8">
        <v>97.18</v>
      </c>
      <c r="D25" s="8" t="s">
        <v>15</v>
      </c>
      <c r="E25" s="8">
        <v>88.7</v>
      </c>
      <c r="F25" s="8">
        <f ca="1">IFERROR(__xludf.DUMMYFUNCTION("INDEX(GOOGLEFINANCE(A25, ""open"", DATE(2025,2,3), DATE(2025,2,3)), 2, 2)"),92.87)</f>
        <v>92.87</v>
      </c>
      <c r="G25" s="8">
        <f ca="1">IFERROR(__xludf.DUMMYFUNCTION("INDEX(GOOGLEFINANCE(A25, ""close"", DATE(2025,2,7), DATE(2025,2,7)), 2, 2)"),98.35)</f>
        <v>98.35</v>
      </c>
      <c r="H25" s="9">
        <f t="shared" ca="1" si="0"/>
        <v>5.9007214385700326</v>
      </c>
      <c r="I25" s="10">
        <f t="shared" ca="1" si="1"/>
        <v>59.00721438570033</v>
      </c>
      <c r="J25" s="10" t="str">
        <f t="shared" si="2"/>
        <v>Put Spread</v>
      </c>
      <c r="K25" s="10" t="str">
        <f t="shared" ca="1" si="3"/>
        <v>Success</v>
      </c>
    </row>
    <row r="26" spans="1:11" ht="16">
      <c r="A26" s="1" t="s">
        <v>45</v>
      </c>
      <c r="B26" s="7" t="s">
        <v>38</v>
      </c>
      <c r="C26" s="8">
        <v>14.97</v>
      </c>
      <c r="D26" s="8" t="s">
        <v>39</v>
      </c>
      <c r="E26" s="8">
        <v>17.309999999999999</v>
      </c>
      <c r="F26" s="8">
        <f ca="1">IFERROR(__xludf.DUMMYFUNCTION("INDEX(GOOGLEFINANCE(A26, ""open"", DATE(2025,2,3), DATE(2025,2,3)), 2, 2)"),15.67)</f>
        <v>15.67</v>
      </c>
      <c r="G26" s="8">
        <f ca="1">IFERROR(__xludf.DUMMYFUNCTION("INDEX(GOOGLEFINANCE(A26, ""close"", DATE(2025,2,7), DATE(2025,2,7)), 2, 2)"),15.6)</f>
        <v>15.6</v>
      </c>
      <c r="H26" s="9">
        <f t="shared" ca="1" si="0"/>
        <v>0.44671346522016775</v>
      </c>
      <c r="I26" s="10">
        <f t="shared" ca="1" si="1"/>
        <v>4.4671346522016773</v>
      </c>
      <c r="J26" s="10" t="str">
        <f t="shared" si="2"/>
        <v>Call Spread</v>
      </c>
      <c r="K26" s="10" t="str">
        <f t="shared" ca="1" si="3"/>
        <v>Success</v>
      </c>
    </row>
    <row r="27" spans="1:11" ht="16">
      <c r="A27" s="1" t="s">
        <v>46</v>
      </c>
      <c r="B27" s="7" t="s">
        <v>38</v>
      </c>
      <c r="C27" s="8">
        <v>10.23</v>
      </c>
      <c r="D27" s="8" t="s">
        <v>39</v>
      </c>
      <c r="E27" s="8">
        <v>11.77</v>
      </c>
      <c r="F27" s="8">
        <f ca="1">IFERROR(__xludf.DUMMYFUNCTION("INDEX(GOOGLEFINANCE(A27, ""open"", DATE(2025,2,3), DATE(2025,2,3)), 2, 2)"),10.81)</f>
        <v>10.81</v>
      </c>
      <c r="G27" s="8">
        <f ca="1">IFERROR(__xludf.DUMMYFUNCTION("INDEX(GOOGLEFINANCE(A27, ""close"", DATE(2025,2,7), DATE(2025,2,7)), 2, 2)"),10.57)</f>
        <v>10.57</v>
      </c>
      <c r="H27" s="9">
        <f t="shared" ca="1" si="0"/>
        <v>2.2201665124884387</v>
      </c>
      <c r="I27" s="10">
        <f t="shared" ca="1" si="1"/>
        <v>22.201665124884386</v>
      </c>
      <c r="J27" s="10" t="str">
        <f t="shared" si="2"/>
        <v>Call Spread</v>
      </c>
      <c r="K27" s="10" t="str">
        <f t="shared" ca="1" si="3"/>
        <v>Success</v>
      </c>
    </row>
    <row r="28" spans="1:11" ht="16">
      <c r="A28" s="1" t="s">
        <v>47</v>
      </c>
      <c r="B28" s="7" t="s">
        <v>14</v>
      </c>
      <c r="C28" s="8">
        <v>68.23</v>
      </c>
      <c r="D28" s="8" t="s">
        <v>15</v>
      </c>
      <c r="E28" s="8">
        <v>53.91</v>
      </c>
      <c r="F28" s="8">
        <f ca="1">IFERROR(__xludf.DUMMYFUNCTION("INDEX(GOOGLEFINANCE(A28, ""open"", DATE(2025,2,3), DATE(2025,2,3)), 2, 2)"),57.1)</f>
        <v>57.1</v>
      </c>
      <c r="G28" s="8">
        <f ca="1">IFERROR(__xludf.DUMMYFUNCTION("INDEX(GOOGLEFINANCE(A28, ""close"", DATE(2025,2,7), DATE(2025,2,7)), 2, 2)"),75.22)</f>
        <v>75.22</v>
      </c>
      <c r="H28" s="9">
        <f t="shared" ca="1" si="0"/>
        <v>31.73380035026269</v>
      </c>
      <c r="I28" s="10">
        <f t="shared" ca="1" si="1"/>
        <v>317.33800350262686</v>
      </c>
      <c r="J28" s="10" t="str">
        <f t="shared" si="2"/>
        <v>Put Spread</v>
      </c>
      <c r="K28" s="10" t="str">
        <f t="shared" ca="1" si="3"/>
        <v>Success</v>
      </c>
    </row>
    <row r="29" spans="1:11" ht="16">
      <c r="A29" s="1" t="s">
        <v>48</v>
      </c>
      <c r="B29" s="7" t="s">
        <v>14</v>
      </c>
      <c r="C29" s="8">
        <v>7.28</v>
      </c>
      <c r="D29" s="8" t="s">
        <v>15</v>
      </c>
      <c r="E29" s="8">
        <v>4.12</v>
      </c>
      <c r="F29" s="8">
        <f ca="1">IFERROR(__xludf.DUMMYFUNCTION("INDEX(GOOGLEFINANCE(A29, ""open"", DATE(2025,2,3), DATE(2025,2,3)), 2, 2)"),5.66)</f>
        <v>5.66</v>
      </c>
      <c r="G29" s="8">
        <f ca="1">IFERROR(__xludf.DUMMYFUNCTION("INDEX(GOOGLEFINANCE(A29, ""close"", DATE(2025,2,7), DATE(2025,2,7)), 2, 2)"),5.63)</f>
        <v>5.63</v>
      </c>
      <c r="H29" s="9">
        <f t="shared" ca="1" si="0"/>
        <v>-0.53003533568905026</v>
      </c>
      <c r="I29" s="10">
        <f t="shared" ca="1" si="1"/>
        <v>-5.3003533568905024</v>
      </c>
      <c r="J29" s="10" t="str">
        <f t="shared" si="2"/>
        <v>Put Spread</v>
      </c>
      <c r="K29" s="10" t="str">
        <f t="shared" ca="1" si="3"/>
        <v>Success</v>
      </c>
    </row>
    <row r="30" spans="1:11" ht="16">
      <c r="A30" s="1" t="s">
        <v>49</v>
      </c>
      <c r="B30" s="7" t="s">
        <v>14</v>
      </c>
      <c r="C30" s="8">
        <v>4.82</v>
      </c>
      <c r="D30" s="8" t="s">
        <v>15</v>
      </c>
      <c r="E30" s="8">
        <v>2.78</v>
      </c>
      <c r="F30" s="8">
        <f ca="1">IFERROR(__xludf.DUMMYFUNCTION("INDEX(GOOGLEFINANCE(A30, ""open"", DATE(2025,2,3), DATE(2025,2,3)), 2, 2)"),3.53)</f>
        <v>3.53</v>
      </c>
      <c r="G30" s="8">
        <f ca="1">IFERROR(__xludf.DUMMYFUNCTION("INDEX(GOOGLEFINANCE(A30, ""close"", DATE(2025,2,7), DATE(2025,2,7)), 2, 2)"),3.5)</f>
        <v>3.5</v>
      </c>
      <c r="H30" s="9">
        <f t="shared" ca="1" si="0"/>
        <v>-0.84985835694050449</v>
      </c>
      <c r="I30" s="10">
        <f t="shared" ca="1" si="1"/>
        <v>-8.498583569405044</v>
      </c>
      <c r="J30" s="10" t="str">
        <f t="shared" si="2"/>
        <v>Put Spread</v>
      </c>
      <c r="K30" s="10" t="str">
        <f t="shared" ca="1" si="3"/>
        <v>Success</v>
      </c>
    </row>
    <row r="31" spans="1:11" ht="16">
      <c r="A31" s="1" t="s">
        <v>50</v>
      </c>
      <c r="B31" s="7" t="s">
        <v>14</v>
      </c>
      <c r="C31" s="8">
        <v>98.98</v>
      </c>
      <c r="D31" s="8" t="s">
        <v>15</v>
      </c>
      <c r="E31" s="8">
        <v>95.82</v>
      </c>
      <c r="F31" s="8">
        <f ca="1">IFERROR(__xludf.DUMMYFUNCTION("INDEX(GOOGLEFINANCE(A31, ""open"", DATE(2025,2,3), DATE(2025,2,3)), 2, 2)"),97.34)</f>
        <v>97.34</v>
      </c>
      <c r="G31" s="8">
        <f ca="1">IFERROR(__xludf.DUMMYFUNCTION("INDEX(GOOGLEFINANCE(A31, ""close"", DATE(2025,2,7), DATE(2025,2,7)), 2, 2)"),97.46)</f>
        <v>97.46</v>
      </c>
      <c r="H31" s="9">
        <f t="shared" ca="1" si="0"/>
        <v>0.12327922745016473</v>
      </c>
      <c r="I31" s="10">
        <f t="shared" ca="1" si="1"/>
        <v>1.2327922745016473</v>
      </c>
      <c r="J31" s="10" t="str">
        <f t="shared" si="2"/>
        <v>Put Spread</v>
      </c>
      <c r="K31" s="10" t="str">
        <f t="shared" ca="1" si="3"/>
        <v>Success</v>
      </c>
    </row>
    <row r="32" spans="1:11" ht="16">
      <c r="A32" s="1" t="s">
        <v>51</v>
      </c>
      <c r="B32" s="7" t="s">
        <v>14</v>
      </c>
      <c r="C32" s="8">
        <v>21.8</v>
      </c>
      <c r="D32" s="8" t="s">
        <v>15</v>
      </c>
      <c r="E32" s="8">
        <v>20.059999999999999</v>
      </c>
      <c r="F32" s="8">
        <f ca="1">IFERROR(__xludf.DUMMYFUNCTION("INDEX(GOOGLEFINANCE(A32, ""open"", DATE(2025,2,3), DATE(2025,2,3)), 2, 2)"),21.17)</f>
        <v>21.17</v>
      </c>
      <c r="G32" s="8">
        <f ca="1">IFERROR(__xludf.DUMMYFUNCTION("INDEX(GOOGLEFINANCE(A32, ""close"", DATE(2025,2,7), DATE(2025,2,7)), 2, 2)"),22.18)</f>
        <v>22.18</v>
      </c>
      <c r="H32" s="9">
        <f t="shared" ca="1" si="0"/>
        <v>4.7709022201228048</v>
      </c>
      <c r="I32" s="10">
        <f t="shared" ca="1" si="1"/>
        <v>47.709022201228045</v>
      </c>
      <c r="J32" s="10" t="str">
        <f t="shared" si="2"/>
        <v>Put Spread</v>
      </c>
      <c r="K32" s="10" t="str">
        <f t="shared" ca="1" si="3"/>
        <v>Success</v>
      </c>
    </row>
    <row r="33" spans="1:11" ht="16">
      <c r="A33" s="1" t="s">
        <v>52</v>
      </c>
      <c r="B33" s="7" t="s">
        <v>38</v>
      </c>
      <c r="C33" s="8">
        <v>9.65</v>
      </c>
      <c r="D33" s="8" t="s">
        <v>39</v>
      </c>
      <c r="E33" s="8">
        <v>10.29</v>
      </c>
      <c r="F33" s="8">
        <f ca="1">IFERROR(__xludf.DUMMYFUNCTION("INDEX(GOOGLEFINANCE(A33, ""open"", DATE(2025,2,3), DATE(2025,2,3)), 2, 2)"),9.72)</f>
        <v>9.7200000000000006</v>
      </c>
      <c r="G33" s="8">
        <f ca="1">IFERROR(__xludf.DUMMYFUNCTION("INDEX(GOOGLEFINANCE(A33, ""close"", DATE(2025,2,7), DATE(2025,2,7)), 2, 2)"),10.07)</f>
        <v>10.07</v>
      </c>
      <c r="H33" s="9">
        <f t="shared" ca="1" si="0"/>
        <v>-3.6008230452674859</v>
      </c>
      <c r="I33" s="10">
        <f t="shared" ca="1" si="1"/>
        <v>-36.008230452674859</v>
      </c>
      <c r="J33" s="10" t="str">
        <f t="shared" si="2"/>
        <v>Call Spread</v>
      </c>
      <c r="K33" s="10" t="str">
        <f t="shared" ca="1" si="3"/>
        <v>Success</v>
      </c>
    </row>
    <row r="34" spans="1:11" ht="16">
      <c r="A34" s="1" t="s">
        <v>53</v>
      </c>
      <c r="B34" s="7" t="s">
        <v>14</v>
      </c>
      <c r="C34" s="8">
        <v>44.23</v>
      </c>
      <c r="D34" s="8" t="s">
        <v>15</v>
      </c>
      <c r="E34" s="8">
        <v>36.97</v>
      </c>
      <c r="F34" s="8">
        <f ca="1">IFERROR(__xludf.DUMMYFUNCTION("INDEX(GOOGLEFINANCE(A34, ""open"", DATE(2025,2,3), DATE(2025,2,3)), 2, 2)"),40.93)</f>
        <v>40.93</v>
      </c>
      <c r="G34" s="8">
        <f ca="1">IFERROR(__xludf.DUMMYFUNCTION("INDEX(GOOGLEFINANCE(A34, ""close"", DATE(2025,2,7), DATE(2025,2,7)), 2, 2)"),40.58)</f>
        <v>40.58</v>
      </c>
      <c r="H34" s="9">
        <f t="shared" ca="1" si="0"/>
        <v>-0.85511849499145232</v>
      </c>
      <c r="I34" s="10">
        <f t="shared" ca="1" si="1"/>
        <v>-8.5511849499145232</v>
      </c>
      <c r="J34" s="10" t="str">
        <f t="shared" si="2"/>
        <v>Put Spread</v>
      </c>
      <c r="K34" s="10" t="str">
        <f t="shared" ca="1" si="3"/>
        <v>Success</v>
      </c>
    </row>
    <row r="35" spans="1:11" ht="16">
      <c r="A35" s="1" t="s">
        <v>54</v>
      </c>
      <c r="B35" s="7" t="s">
        <v>14</v>
      </c>
      <c r="C35" s="8">
        <v>34.799999999999997</v>
      </c>
      <c r="D35" s="8" t="s">
        <v>15</v>
      </c>
      <c r="E35" s="8">
        <v>27.9</v>
      </c>
      <c r="F35" s="8">
        <f ca="1">IFERROR(__xludf.DUMMYFUNCTION("INDEX(GOOGLEFINANCE(A35, ""open"", DATE(2025,2,3), DATE(2025,2,3)), 2, 2)"),29.5)</f>
        <v>29.5</v>
      </c>
      <c r="G35" s="8">
        <f ca="1">IFERROR(__xludf.DUMMYFUNCTION("INDEX(GOOGLEFINANCE(A35, ""close"", DATE(2025,2,7), DATE(2025,2,7)), 2, 2)"),33.48)</f>
        <v>33.479999999999997</v>
      </c>
      <c r="H35" s="9">
        <f t="shared" ca="1" si="0"/>
        <v>13.491525423728804</v>
      </c>
      <c r="I35" s="10">
        <f t="shared" ca="1" si="1"/>
        <v>134.91525423728805</v>
      </c>
      <c r="J35" s="10" t="str">
        <f t="shared" si="2"/>
        <v>Put Spread</v>
      </c>
      <c r="K35" s="10" t="str">
        <f t="shared" ca="1" si="3"/>
        <v>Success</v>
      </c>
    </row>
    <row r="36" spans="1:11" ht="16">
      <c r="A36" s="1" t="s">
        <v>55</v>
      </c>
      <c r="B36" s="7" t="s">
        <v>14</v>
      </c>
      <c r="C36" s="8">
        <v>76.98</v>
      </c>
      <c r="D36" s="8" t="s">
        <v>15</v>
      </c>
      <c r="E36" s="8">
        <v>70.34</v>
      </c>
      <c r="F36" s="8">
        <f ca="1">IFERROR(__xludf.DUMMYFUNCTION("INDEX(GOOGLEFINANCE(A36, ""open"", DATE(2025,2,3), DATE(2025,2,3)), 2, 2)"),72.66)</f>
        <v>72.66</v>
      </c>
      <c r="G36" s="8">
        <f ca="1">IFERROR(__xludf.DUMMYFUNCTION("INDEX(GOOGLEFINANCE(A36, ""close"", DATE(2025,2,7), DATE(2025,2,7)), 2, 2)"),74.69)</f>
        <v>74.69</v>
      </c>
      <c r="H36" s="9">
        <f t="shared" ca="1" si="0"/>
        <v>2.793834296724472</v>
      </c>
      <c r="I36" s="10">
        <f t="shared" ca="1" si="1"/>
        <v>27.938342967244722</v>
      </c>
      <c r="J36" s="10" t="str">
        <f t="shared" si="2"/>
        <v>Put Spread</v>
      </c>
      <c r="K36" s="10" t="str">
        <f t="shared" ca="1" si="3"/>
        <v>Success</v>
      </c>
    </row>
    <row r="37" spans="1:11" ht="16">
      <c r="A37" s="1" t="s">
        <v>56</v>
      </c>
      <c r="B37" s="7" t="s">
        <v>14</v>
      </c>
      <c r="C37" s="8">
        <v>41.64</v>
      </c>
      <c r="D37" s="8" t="s">
        <v>15</v>
      </c>
      <c r="E37" s="8">
        <v>39.26</v>
      </c>
      <c r="F37" s="8">
        <f ca="1">IFERROR(__xludf.DUMMYFUNCTION("INDEX(GOOGLEFINANCE(A37, ""open"", DATE(2025,2,3), DATE(2025,2,3)), 2, 2)"),39.51)</f>
        <v>39.51</v>
      </c>
      <c r="G37" s="8">
        <f ca="1">IFERROR(__xludf.DUMMYFUNCTION("INDEX(GOOGLEFINANCE(A37, ""close"", DATE(2025,2,7), DATE(2025,2,7)), 2, 2)"),40.82)</f>
        <v>40.82</v>
      </c>
      <c r="H37" s="9">
        <f t="shared" ca="1" si="0"/>
        <v>3.315616299670975</v>
      </c>
      <c r="I37" s="10">
        <f t="shared" ca="1" si="1"/>
        <v>33.156162996709753</v>
      </c>
      <c r="J37" s="10" t="str">
        <f t="shared" si="2"/>
        <v>Put Spread</v>
      </c>
      <c r="K37" s="10" t="str">
        <f t="shared" ca="1" si="3"/>
        <v>Success</v>
      </c>
    </row>
    <row r="38" spans="1:11" ht="16">
      <c r="A38" s="1" t="s">
        <v>57</v>
      </c>
      <c r="B38" s="7" t="s">
        <v>14</v>
      </c>
      <c r="C38" s="8">
        <v>106.4</v>
      </c>
      <c r="D38" s="8" t="s">
        <v>15</v>
      </c>
      <c r="E38" s="8">
        <v>93.4</v>
      </c>
      <c r="F38" s="8">
        <f ca="1">IFERROR(__xludf.DUMMYFUNCTION("INDEX(GOOGLEFINANCE(A38, ""open"", DATE(2025,2,3), DATE(2025,2,3)), 2, 2)"),98.4)</f>
        <v>98.4</v>
      </c>
      <c r="G38" s="8">
        <f ca="1">IFERROR(__xludf.DUMMYFUNCTION("INDEX(GOOGLEFINANCE(A38, ""close"", DATE(2025,2,7), DATE(2025,2,7)), 2, 2)"),99.64)</f>
        <v>99.64</v>
      </c>
      <c r="H38" s="9">
        <f t="shared" ca="1" si="0"/>
        <v>1.260162601626011</v>
      </c>
      <c r="I38" s="10">
        <f t="shared" ca="1" si="1"/>
        <v>12.601626016260111</v>
      </c>
      <c r="J38" s="10" t="str">
        <f t="shared" si="2"/>
        <v>Put Spread</v>
      </c>
      <c r="K38" s="10" t="str">
        <f t="shared" ca="1" si="3"/>
        <v>Success</v>
      </c>
    </row>
    <row r="39" spans="1:11" ht="16">
      <c r="A39" s="1" t="s">
        <v>58</v>
      </c>
      <c r="B39" s="7" t="s">
        <v>14</v>
      </c>
      <c r="C39" s="8">
        <v>2.42</v>
      </c>
      <c r="D39" s="8" t="s">
        <v>15</v>
      </c>
      <c r="E39" s="8">
        <v>2.06</v>
      </c>
      <c r="F39" s="8">
        <f ca="1">IFERROR(__xludf.DUMMYFUNCTION("INDEX(GOOGLEFINANCE(A39, ""open"", DATE(2025,2,3), DATE(2025,2,3)), 2, 2)"),2.16)</f>
        <v>2.16</v>
      </c>
      <c r="G39" s="8">
        <f ca="1">IFERROR(__xludf.DUMMYFUNCTION("INDEX(GOOGLEFINANCE(A39, ""close"", DATE(2025,2,7), DATE(2025,2,7)), 2, 2)"),2.14)</f>
        <v>2.14</v>
      </c>
      <c r="H39" s="9">
        <f t="shared" ca="1" si="0"/>
        <v>-0.92592592592592671</v>
      </c>
      <c r="I39" s="10">
        <f t="shared" ca="1" si="1"/>
        <v>-9.2592592592592666</v>
      </c>
      <c r="J39" s="10" t="str">
        <f t="shared" si="2"/>
        <v>Put Spread</v>
      </c>
      <c r="K39" s="10" t="str">
        <f t="shared" ca="1" si="3"/>
        <v>Success</v>
      </c>
    </row>
    <row r="40" spans="1:11" ht="16">
      <c r="A40" s="1" t="s">
        <v>59</v>
      </c>
      <c r="B40" s="7" t="s">
        <v>38</v>
      </c>
      <c r="C40" s="8">
        <v>77.489999999999995</v>
      </c>
      <c r="D40" s="8" t="s">
        <v>39</v>
      </c>
      <c r="E40" s="8">
        <v>90.89</v>
      </c>
      <c r="F40" s="8">
        <f ca="1">IFERROR(__xludf.DUMMYFUNCTION("INDEX(GOOGLEFINANCE(A40, ""open"", DATE(2025,2,3), DATE(2025,2,3)), 2, 2)"),81.51)</f>
        <v>81.510000000000005</v>
      </c>
      <c r="G40" s="8">
        <f ca="1">IFERROR(__xludf.DUMMYFUNCTION("INDEX(GOOGLEFINANCE(A40, ""close"", DATE(2025,2,7), DATE(2025,2,7)), 2, 2)"),77.37)</f>
        <v>77.37</v>
      </c>
      <c r="H40" s="9">
        <f t="shared" ca="1" si="0"/>
        <v>5.0791313949208687</v>
      </c>
      <c r="I40" s="10">
        <f t="shared" ca="1" si="1"/>
        <v>50.791313949208686</v>
      </c>
      <c r="J40" s="10" t="str">
        <f t="shared" si="2"/>
        <v>Call Spread</v>
      </c>
      <c r="K40" s="10" t="str">
        <f t="shared" ca="1" si="3"/>
        <v>Success</v>
      </c>
    </row>
    <row r="41" spans="1:11" ht="16">
      <c r="A41" s="1" t="s">
        <v>60</v>
      </c>
      <c r="B41" s="7" t="s">
        <v>38</v>
      </c>
      <c r="C41" s="8">
        <v>22.45</v>
      </c>
      <c r="D41" s="8" t="s">
        <v>39</v>
      </c>
      <c r="E41" s="8">
        <v>25.73</v>
      </c>
      <c r="F41" s="8">
        <f ca="1">IFERROR(__xludf.DUMMYFUNCTION("INDEX(GOOGLEFINANCE(A41, ""open"", DATE(2025,2,3), DATE(2025,2,3)), 2, 2)"),22.7)</f>
        <v>22.7</v>
      </c>
      <c r="G41" s="8">
        <f ca="1">IFERROR(__xludf.DUMMYFUNCTION("INDEX(GOOGLEFINANCE(A41, ""close"", DATE(2025,2,7), DATE(2025,2,7)), 2, 2)"),24.28)</f>
        <v>24.28</v>
      </c>
      <c r="H41" s="9">
        <f t="shared" ca="1" si="0"/>
        <v>-6.9603524229074969</v>
      </c>
      <c r="I41" s="10">
        <f t="shared" ca="1" si="1"/>
        <v>-69.603524229074964</v>
      </c>
      <c r="J41" s="10" t="str">
        <f t="shared" si="2"/>
        <v>Call Spread</v>
      </c>
      <c r="K41" s="10" t="str">
        <f t="shared" ca="1" si="3"/>
        <v>Success</v>
      </c>
    </row>
    <row r="42" spans="1:11" ht="16">
      <c r="A42" s="1" t="s">
        <v>61</v>
      </c>
      <c r="B42" s="7" t="s">
        <v>14</v>
      </c>
      <c r="C42" s="8">
        <v>9.49</v>
      </c>
      <c r="D42" s="8" t="s">
        <v>15</v>
      </c>
      <c r="E42" s="8">
        <v>3.79</v>
      </c>
      <c r="F42" s="8">
        <f ca="1">IFERROR(__xludf.DUMMYFUNCTION("INDEX(GOOGLEFINANCE(A42, ""open"", DATE(2025,2,3), DATE(2025,2,3)), 2, 2)"),6.36)</f>
        <v>6.36</v>
      </c>
      <c r="G42" s="8">
        <f ca="1">IFERROR(__xludf.DUMMYFUNCTION("INDEX(GOOGLEFINANCE(A42, ""close"", DATE(2025,2,7), DATE(2025,2,7)), 2, 2)"),6.66)</f>
        <v>6.66</v>
      </c>
      <c r="H42" s="9">
        <f t="shared" ca="1" si="0"/>
        <v>4.7169811320754684</v>
      </c>
      <c r="I42" s="10">
        <f t="shared" ca="1" si="1"/>
        <v>47.16981132075469</v>
      </c>
      <c r="J42" s="10" t="str">
        <f t="shared" si="2"/>
        <v>Put Spread</v>
      </c>
      <c r="K42" s="10" t="str">
        <f t="shared" ca="1" si="3"/>
        <v>Success</v>
      </c>
    </row>
    <row r="43" spans="1:11" ht="16">
      <c r="A43" s="1" t="s">
        <v>62</v>
      </c>
      <c r="B43" s="7" t="s">
        <v>14</v>
      </c>
      <c r="C43" s="8">
        <v>190.98</v>
      </c>
      <c r="D43" s="8" t="s">
        <v>15</v>
      </c>
      <c r="E43" s="8">
        <v>169.72</v>
      </c>
      <c r="F43" s="8">
        <f ca="1">IFERROR(__xludf.DUMMYFUNCTION("INDEX(GOOGLEFINANCE(A43, ""open"", DATE(2025,2,3), DATE(2025,2,3)), 2, 2)"),175.32)</f>
        <v>175.32</v>
      </c>
      <c r="G43" s="8">
        <f ca="1">IFERROR(__xludf.DUMMYFUNCTION("INDEX(GOOGLEFINANCE(A43, ""close"", DATE(2025,2,7), DATE(2025,2,7)), 2, 2)"),180)</f>
        <v>180</v>
      </c>
      <c r="H43" s="9">
        <f t="shared" ca="1" si="0"/>
        <v>2.6694045174538026</v>
      </c>
      <c r="I43" s="10">
        <f t="shared" ca="1" si="1"/>
        <v>26.694045174538029</v>
      </c>
      <c r="J43" s="10" t="str">
        <f t="shared" si="2"/>
        <v>Put Spread</v>
      </c>
      <c r="K43" s="10" t="str">
        <f t="shared" ca="1" si="3"/>
        <v>Success</v>
      </c>
    </row>
    <row r="44" spans="1:11" ht="16">
      <c r="A44" s="1" t="s">
        <v>63</v>
      </c>
      <c r="B44" s="7" t="s">
        <v>14</v>
      </c>
      <c r="C44" s="8">
        <v>3.46</v>
      </c>
      <c r="D44" s="8" t="s">
        <v>15</v>
      </c>
      <c r="E44" s="8">
        <v>2.76</v>
      </c>
      <c r="F44" s="8">
        <f ca="1">IFERROR(__xludf.DUMMYFUNCTION("INDEX(GOOGLEFINANCE(A44, ""open"", DATE(2025,2,3), DATE(2025,2,3)), 2, 2)"),3)</f>
        <v>3</v>
      </c>
      <c r="G44" s="8">
        <f ca="1">IFERROR(__xludf.DUMMYFUNCTION("INDEX(GOOGLEFINANCE(A44, ""close"", DATE(2025,2,7), DATE(2025,2,7)), 2, 2)"),3.1)</f>
        <v>3.1</v>
      </c>
      <c r="H44" s="9">
        <f t="shared" ca="1" si="0"/>
        <v>3.3333333333333361</v>
      </c>
      <c r="I44" s="10">
        <f t="shared" ca="1" si="1"/>
        <v>33.333333333333364</v>
      </c>
      <c r="J44" s="10" t="str">
        <f t="shared" si="2"/>
        <v>Put Spread</v>
      </c>
      <c r="K44" s="10" t="str">
        <f t="shared" ca="1" si="3"/>
        <v>Success</v>
      </c>
    </row>
    <row r="45" spans="1:11" ht="16">
      <c r="A45" s="1" t="s">
        <v>64</v>
      </c>
      <c r="B45" s="7" t="s">
        <v>38</v>
      </c>
      <c r="C45" s="8">
        <v>107.44</v>
      </c>
      <c r="D45" s="8" t="s">
        <v>39</v>
      </c>
      <c r="E45" s="8">
        <v>124.46</v>
      </c>
      <c r="F45" s="8">
        <f ca="1">IFERROR(__xludf.DUMMYFUNCTION("INDEX(GOOGLEFINANCE(A45, ""open"", DATE(2025,2,3), DATE(2025,2,3)), 2, 2)"),113.88)</f>
        <v>113.88</v>
      </c>
      <c r="G45" s="8">
        <f ca="1">IFERROR(__xludf.DUMMYFUNCTION("INDEX(GOOGLEFINANCE(A45, ""close"", DATE(2025,2,7), DATE(2025,2,7)), 2, 2)"),107.56)</f>
        <v>107.56</v>
      </c>
      <c r="H45" s="9">
        <f t="shared" ca="1" si="0"/>
        <v>5.5497014401123934</v>
      </c>
      <c r="I45" s="10">
        <f t="shared" ca="1" si="1"/>
        <v>55.497014401123934</v>
      </c>
      <c r="J45" s="10" t="str">
        <f t="shared" si="2"/>
        <v>Call Spread</v>
      </c>
      <c r="K45" s="10" t="str">
        <f t="shared" ca="1" si="3"/>
        <v>Success</v>
      </c>
    </row>
    <row r="46" spans="1:11" ht="16">
      <c r="A46" s="1" t="s">
        <v>65</v>
      </c>
      <c r="B46" s="7" t="s">
        <v>14</v>
      </c>
      <c r="C46" s="8">
        <v>295.43</v>
      </c>
      <c r="D46" s="8" t="s">
        <v>15</v>
      </c>
      <c r="E46" s="8">
        <v>275.41000000000003</v>
      </c>
      <c r="F46" s="8">
        <f ca="1">IFERROR(__xludf.DUMMYFUNCTION("INDEX(GOOGLEFINANCE(A46, ""open"", DATE(2025,2,3), DATE(2025,2,3)), 2, 2)"),286.91)</f>
        <v>286.91000000000003</v>
      </c>
      <c r="G46" s="8">
        <f ca="1">IFERROR(__xludf.DUMMYFUNCTION("INDEX(GOOGLEFINANCE(A46, ""close"", DATE(2025,2,7), DATE(2025,2,7)), 2, 2)"),293.54)</f>
        <v>293.54000000000002</v>
      </c>
      <c r="H46" s="9">
        <f t="shared" ca="1" si="0"/>
        <v>2.3108291798821909</v>
      </c>
      <c r="I46" s="10">
        <f t="shared" ca="1" si="1"/>
        <v>23.108291798821909</v>
      </c>
      <c r="J46" s="10" t="str">
        <f t="shared" si="2"/>
        <v>Put Spread</v>
      </c>
      <c r="K46" s="10" t="str">
        <f t="shared" ca="1" si="3"/>
        <v>Success</v>
      </c>
    </row>
    <row r="47" spans="1:11" ht="16">
      <c r="A47" s="1" t="s">
        <v>66</v>
      </c>
      <c r="B47" s="7" t="s">
        <v>38</v>
      </c>
      <c r="C47" s="8">
        <v>3.09</v>
      </c>
      <c r="D47" s="8" t="s">
        <v>39</v>
      </c>
      <c r="E47" s="8">
        <v>4.21</v>
      </c>
      <c r="F47" s="8">
        <f ca="1">IFERROR(__xludf.DUMMYFUNCTION("INDEX(GOOGLEFINANCE(A47, ""open"", DATE(2025,2,3), DATE(2025,2,3)), 2, 2)"),3.54)</f>
        <v>3.54</v>
      </c>
      <c r="G47" s="8">
        <f ca="1">IFERROR(__xludf.DUMMYFUNCTION("INDEX(GOOGLEFINANCE(A47, ""close"", DATE(2025,2,7), DATE(2025,2,7)), 2, 2)"),3.8)</f>
        <v>3.8</v>
      </c>
      <c r="H47" s="9">
        <f t="shared" ca="1" si="0"/>
        <v>-7.3446327683615751</v>
      </c>
      <c r="I47" s="10">
        <f t="shared" ca="1" si="1"/>
        <v>-73.446327683615749</v>
      </c>
      <c r="J47" s="10" t="str">
        <f t="shared" si="2"/>
        <v>Call Spread</v>
      </c>
      <c r="K47" s="10" t="str">
        <f t="shared" ca="1" si="3"/>
        <v>Success</v>
      </c>
    </row>
    <row r="48" spans="1:11" ht="16">
      <c r="A48" s="1" t="s">
        <v>67</v>
      </c>
      <c r="B48" s="7" t="s">
        <v>14</v>
      </c>
      <c r="C48" s="8">
        <v>29.64</v>
      </c>
      <c r="D48" s="8" t="s">
        <v>15</v>
      </c>
      <c r="E48" s="8">
        <v>22.9</v>
      </c>
      <c r="F48" s="8">
        <f ca="1">IFERROR(__xludf.DUMMYFUNCTION("INDEX(GOOGLEFINANCE(A48, ""open"", DATE(2025,2,3), DATE(2025,2,3)), 2, 2)"),24.91)</f>
        <v>24.91</v>
      </c>
      <c r="G48" s="8">
        <f ca="1">IFERROR(__xludf.DUMMYFUNCTION("INDEX(GOOGLEFINANCE(A48, ""close"", DATE(2025,2,7), DATE(2025,2,7)), 2, 2)"),32.85)</f>
        <v>32.85</v>
      </c>
      <c r="H48" s="9">
        <f t="shared" ca="1" si="0"/>
        <v>31.8747490967483</v>
      </c>
      <c r="I48" s="10">
        <f t="shared" ca="1" si="1"/>
        <v>318.74749096748297</v>
      </c>
      <c r="J48" s="10" t="str">
        <f t="shared" si="2"/>
        <v>Put Spread</v>
      </c>
      <c r="K48" s="10" t="str">
        <f t="shared" ca="1" si="3"/>
        <v>Success</v>
      </c>
    </row>
    <row r="49" spans="1:11" ht="16">
      <c r="A49" s="1" t="s">
        <v>68</v>
      </c>
      <c r="B49" s="7" t="s">
        <v>14</v>
      </c>
      <c r="C49" s="8">
        <v>192.4</v>
      </c>
      <c r="D49" s="8" t="s">
        <v>15</v>
      </c>
      <c r="E49" s="8">
        <v>177.5</v>
      </c>
      <c r="F49" s="8">
        <f ca="1">IFERROR(__xludf.DUMMYFUNCTION("INDEX(GOOGLEFINANCE(A49, ""open"", DATE(2025,2,3), DATE(2025,2,3)), 2, 2)"),184.82)</f>
        <v>184.82</v>
      </c>
      <c r="G49" s="8">
        <f ca="1">IFERROR(__xludf.DUMMYFUNCTION("INDEX(GOOGLEFINANCE(A49, ""close"", DATE(2025,2,7), DATE(2025,2,7)), 2, 2)"),188.84)</f>
        <v>188.84</v>
      </c>
      <c r="H49" s="9">
        <f t="shared" ca="1" si="0"/>
        <v>2.1750892760523808</v>
      </c>
      <c r="I49" s="10">
        <f t="shared" ca="1" si="1"/>
        <v>21.750892760523808</v>
      </c>
      <c r="J49" s="10" t="str">
        <f t="shared" si="2"/>
        <v>Put Spread</v>
      </c>
      <c r="K49" s="10" t="str">
        <f t="shared" ca="1" si="3"/>
        <v>Success</v>
      </c>
    </row>
    <row r="50" spans="1:11" ht="16">
      <c r="A50" s="1" t="s">
        <v>69</v>
      </c>
      <c r="B50" s="7" t="s">
        <v>14</v>
      </c>
      <c r="C50" s="8">
        <v>2.61</v>
      </c>
      <c r="D50" s="8" t="s">
        <v>15</v>
      </c>
      <c r="E50" s="8">
        <v>2.0099999999999998</v>
      </c>
      <c r="F50" s="8">
        <f ca="1">IFERROR(__xludf.DUMMYFUNCTION("INDEX(GOOGLEFINANCE(A50, ""open"", DATE(2025,2,3), DATE(2025,2,3)), 2, 2)"),2.23)</f>
        <v>2.23</v>
      </c>
      <c r="G50" s="8">
        <f ca="1">IFERROR(__xludf.DUMMYFUNCTION("INDEX(GOOGLEFINANCE(A50, ""close"", DATE(2025,2,7), DATE(2025,2,7)), 2, 2)"),2.04)</f>
        <v>2.04</v>
      </c>
      <c r="H50" s="9">
        <f t="shared" ca="1" si="0"/>
        <v>-8.5201793721973083</v>
      </c>
      <c r="I50" s="10">
        <f t="shared" ca="1" si="1"/>
        <v>-85.201793721973075</v>
      </c>
      <c r="J50" s="10" t="str">
        <f t="shared" si="2"/>
        <v>Put Spread</v>
      </c>
      <c r="K50" s="10" t="str">
        <f t="shared" ca="1" si="3"/>
        <v>Success</v>
      </c>
    </row>
    <row r="51" spans="1:11" ht="16">
      <c r="A51" s="1" t="s">
        <v>70</v>
      </c>
      <c r="B51" s="7" t="s">
        <v>14</v>
      </c>
      <c r="C51" s="8">
        <v>249.4</v>
      </c>
      <c r="D51" s="8" t="s">
        <v>15</v>
      </c>
      <c r="E51" s="8">
        <v>225.96</v>
      </c>
      <c r="F51" s="8">
        <f ca="1">IFERROR(__xludf.DUMMYFUNCTION("INDEX(GOOGLEFINANCE(A51, ""open"", DATE(2025,2,3), DATE(2025,2,3)), 2, 2)"),234.06)</f>
        <v>234.06</v>
      </c>
      <c r="G51" s="8">
        <f ca="1">IFERROR(__xludf.DUMMYFUNCTION("INDEX(GOOGLEFINANCE(A51, ""close"", DATE(2025,2,7), DATE(2025,2,7)), 2, 2)"),229.15)</f>
        <v>229.15</v>
      </c>
      <c r="H51" s="9">
        <f t="shared" ca="1" si="0"/>
        <v>-2.0977527129795766</v>
      </c>
      <c r="I51" s="10">
        <f t="shared" ca="1" si="1"/>
        <v>-20.977527129795767</v>
      </c>
      <c r="J51" s="10" t="str">
        <f t="shared" si="2"/>
        <v>Put Spread</v>
      </c>
      <c r="K51" s="10" t="str">
        <f t="shared" ca="1" si="3"/>
        <v>Success</v>
      </c>
    </row>
    <row r="52" spans="1:11" ht="16">
      <c r="A52" s="1" t="s">
        <v>71</v>
      </c>
      <c r="B52" s="7" t="s">
        <v>14</v>
      </c>
      <c r="C52" s="8">
        <v>124.17</v>
      </c>
      <c r="D52" s="8" t="s">
        <v>15</v>
      </c>
      <c r="E52" s="8">
        <v>106.29</v>
      </c>
      <c r="F52" s="8">
        <f ca="1">IFERROR(__xludf.DUMMYFUNCTION("INDEX(GOOGLEFINANCE(A52, ""open"", DATE(2025,2,3), DATE(2025,2,3)), 2, 2)"),109.67)</f>
        <v>109.67</v>
      </c>
      <c r="G52" s="8">
        <f ca="1">IFERROR(__xludf.DUMMYFUNCTION("INDEX(GOOGLEFINANCE(A52, ""close"", DATE(2025,2,7), DATE(2025,2,7)), 2, 2)"),118.47)</f>
        <v>118.47</v>
      </c>
      <c r="H52" s="9">
        <f t="shared" ca="1" si="0"/>
        <v>8.0240722166499463</v>
      </c>
      <c r="I52" s="10">
        <f t="shared" ca="1" si="1"/>
        <v>80.240722166499467</v>
      </c>
      <c r="J52" s="10" t="str">
        <f t="shared" si="2"/>
        <v>Put Spread</v>
      </c>
      <c r="K52" s="10" t="str">
        <f t="shared" ca="1" si="3"/>
        <v>Success</v>
      </c>
    </row>
    <row r="53" spans="1:11" ht="16">
      <c r="A53" s="1" t="s">
        <v>72</v>
      </c>
      <c r="B53" s="7" t="s">
        <v>38</v>
      </c>
      <c r="C53" s="8">
        <v>108.98</v>
      </c>
      <c r="D53" s="8" t="s">
        <v>39</v>
      </c>
      <c r="E53" s="8">
        <v>129.78</v>
      </c>
      <c r="F53" s="8">
        <f ca="1">IFERROR(__xludf.DUMMYFUNCTION("INDEX(GOOGLEFINANCE(A53, ""open"", DATE(2025,2,3), DATE(2025,2,3)), 2, 2)"),115.07)</f>
        <v>115.07</v>
      </c>
      <c r="G53" s="8">
        <f ca="1">IFERROR(__xludf.DUMMYFUNCTION("INDEX(GOOGLEFINANCE(A53, ""close"", DATE(2025,2,7), DATE(2025,2,7)), 2, 2)"),114.73)</f>
        <v>114.73</v>
      </c>
      <c r="H53" s="9">
        <f t="shared" ca="1" si="0"/>
        <v>0.29547232119578448</v>
      </c>
      <c r="I53" s="10">
        <f t="shared" ca="1" si="1"/>
        <v>2.954723211957845</v>
      </c>
      <c r="J53" s="10" t="str">
        <f t="shared" si="2"/>
        <v>Call Spread</v>
      </c>
      <c r="K53" s="10" t="str">
        <f t="shared" ca="1" si="3"/>
        <v>Success</v>
      </c>
    </row>
    <row r="54" spans="1:11" ht="16">
      <c r="A54" s="1" t="s">
        <v>73</v>
      </c>
      <c r="B54" s="7" t="s">
        <v>14</v>
      </c>
      <c r="C54" s="8">
        <v>23.27</v>
      </c>
      <c r="D54" s="8" t="s">
        <v>15</v>
      </c>
      <c r="E54" s="8">
        <v>20.59</v>
      </c>
      <c r="F54" s="8">
        <f ca="1">IFERROR(__xludf.DUMMYFUNCTION("INDEX(GOOGLEFINANCE(A54, ""open"", DATE(2025,2,3), DATE(2025,2,3)), 2, 2)"),21.82)</f>
        <v>21.82</v>
      </c>
      <c r="G54" s="8">
        <f ca="1">IFERROR(__xludf.DUMMYFUNCTION("INDEX(GOOGLEFINANCE(A54, ""close"", DATE(2025,2,7), DATE(2025,2,7)), 2, 2)"),21.67)</f>
        <v>21.67</v>
      </c>
      <c r="H54" s="9">
        <f t="shared" ca="1" si="0"/>
        <v>-0.68744271310723459</v>
      </c>
      <c r="I54" s="10">
        <f t="shared" ca="1" si="1"/>
        <v>-6.8744271310723457</v>
      </c>
      <c r="J54" s="10" t="str">
        <f t="shared" si="2"/>
        <v>Put Spread</v>
      </c>
      <c r="K54" s="10" t="str">
        <f t="shared" ca="1" si="3"/>
        <v>Success</v>
      </c>
    </row>
    <row r="55" spans="1:11" ht="16">
      <c r="A55" s="1" t="s">
        <v>74</v>
      </c>
      <c r="B55" s="7" t="s">
        <v>14</v>
      </c>
      <c r="C55" s="8">
        <v>46.3</v>
      </c>
      <c r="D55" s="8" t="s">
        <v>15</v>
      </c>
      <c r="E55" s="8">
        <v>43.08</v>
      </c>
      <c r="F55" s="8">
        <f ca="1">IFERROR(__xludf.DUMMYFUNCTION("INDEX(GOOGLEFINANCE(A55, ""open"", DATE(2025,2,3), DATE(2025,2,3)), 2, 2)"),43.6)</f>
        <v>43.6</v>
      </c>
      <c r="G55" s="8">
        <f ca="1">IFERROR(__xludf.DUMMYFUNCTION("INDEX(GOOGLEFINANCE(A55, ""close"", DATE(2025,2,7), DATE(2025,2,7)), 2, 2)"),44.52)</f>
        <v>44.52</v>
      </c>
      <c r="H55" s="9">
        <f t="shared" ca="1" si="0"/>
        <v>2.1100917431192698</v>
      </c>
      <c r="I55" s="10">
        <f t="shared" ca="1" si="1"/>
        <v>21.100917431192698</v>
      </c>
      <c r="J55" s="10" t="str">
        <f t="shared" si="2"/>
        <v>Put Spread</v>
      </c>
      <c r="K55" s="10" t="str">
        <f t="shared" ca="1" si="3"/>
        <v>Success</v>
      </c>
    </row>
    <row r="56" spans="1:11" ht="16">
      <c r="A56" s="1" t="s">
        <v>75</v>
      </c>
      <c r="B56" s="7" t="s">
        <v>14</v>
      </c>
      <c r="C56" s="8">
        <v>73.48</v>
      </c>
      <c r="D56" s="8" t="s">
        <v>15</v>
      </c>
      <c r="E56" s="8">
        <v>68.08</v>
      </c>
      <c r="F56" s="8">
        <f ca="1">IFERROR(__xludf.DUMMYFUNCTION("INDEX(GOOGLEFINANCE(A56, ""open"", DATE(2025,2,3), DATE(2025,2,3)), 2, 2)"),69.03)</f>
        <v>69.03</v>
      </c>
      <c r="G56" s="8">
        <f ca="1">IFERROR(__xludf.DUMMYFUNCTION("INDEX(GOOGLEFINANCE(A56, ""close"", DATE(2025,2,7), DATE(2025,2,7)), 2, 2)"),69.8)</f>
        <v>69.8</v>
      </c>
      <c r="H56" s="9">
        <f t="shared" ca="1" si="0"/>
        <v>1.1154570476604317</v>
      </c>
      <c r="I56" s="10">
        <f t="shared" ca="1" si="1"/>
        <v>11.154570476604317</v>
      </c>
      <c r="J56" s="10" t="str">
        <f t="shared" si="2"/>
        <v>Put Spread</v>
      </c>
      <c r="K56" s="10" t="str">
        <f t="shared" ca="1" si="3"/>
        <v>Success</v>
      </c>
    </row>
    <row r="57" spans="1:11" ht="16">
      <c r="A57" s="1" t="s">
        <v>76</v>
      </c>
      <c r="B57" s="7" t="s">
        <v>14</v>
      </c>
      <c r="C57" s="8">
        <v>8.1300000000000008</v>
      </c>
      <c r="D57" s="8" t="s">
        <v>15</v>
      </c>
      <c r="E57" s="8">
        <v>6.11</v>
      </c>
      <c r="F57" s="8">
        <f ca="1">IFERROR(__xludf.DUMMYFUNCTION("INDEX(GOOGLEFINANCE(A57, ""open"", DATE(2025,2,3), DATE(2025,2,3)), 2, 2)"),6.55)</f>
        <v>6.55</v>
      </c>
      <c r="G57" s="8">
        <f ca="1">IFERROR(__xludf.DUMMYFUNCTION("INDEX(GOOGLEFINANCE(A57, ""close"", DATE(2025,2,7), DATE(2025,2,7)), 2, 2)"),7.79)</f>
        <v>7.79</v>
      </c>
      <c r="H57" s="9">
        <f t="shared" ca="1" si="0"/>
        <v>18.931297709923665</v>
      </c>
      <c r="I57" s="10">
        <f t="shared" ca="1" si="1"/>
        <v>189.31297709923666</v>
      </c>
      <c r="J57" s="10" t="str">
        <f t="shared" si="2"/>
        <v>Put Spread</v>
      </c>
      <c r="K57" s="10" t="str">
        <f t="shared" ca="1" si="3"/>
        <v>Success</v>
      </c>
    </row>
    <row r="58" spans="1:11" ht="16">
      <c r="A58" s="1" t="s">
        <v>77</v>
      </c>
      <c r="B58" s="7" t="s">
        <v>14</v>
      </c>
      <c r="C58" s="8">
        <v>180.13</v>
      </c>
      <c r="D58" s="8" t="s">
        <v>15</v>
      </c>
      <c r="E58" s="8">
        <v>161.83000000000001</v>
      </c>
      <c r="F58" s="8">
        <f ca="1">IFERROR(__xludf.DUMMYFUNCTION("INDEX(GOOGLEFINANCE(A58, ""open"", DATE(2025,2,3), DATE(2025,2,3)), 2, 2)"),166.28)</f>
        <v>166.28</v>
      </c>
      <c r="G58" s="8">
        <f ca="1">IFERROR(__xludf.DUMMYFUNCTION("INDEX(GOOGLEFINANCE(A58, ""close"", DATE(2025,2,7), DATE(2025,2,7)), 2, 2)"),163.45)</f>
        <v>163.44999999999999</v>
      </c>
      <c r="H58" s="9">
        <f t="shared" ca="1" si="0"/>
        <v>-1.7019485205677247</v>
      </c>
      <c r="I58" s="10">
        <f t="shared" ca="1" si="1"/>
        <v>-17.019485205677245</v>
      </c>
      <c r="J58" s="10" t="str">
        <f t="shared" si="2"/>
        <v>Put Spread</v>
      </c>
      <c r="K58" s="10" t="str">
        <f t="shared" ca="1" si="3"/>
        <v>Success</v>
      </c>
    </row>
    <row r="59" spans="1:11" ht="16">
      <c r="A59" s="1" t="s">
        <v>78</v>
      </c>
      <c r="B59" s="7" t="s">
        <v>14</v>
      </c>
      <c r="C59" s="8">
        <v>414.7</v>
      </c>
      <c r="D59" s="8" t="s">
        <v>15</v>
      </c>
      <c r="E59" s="8">
        <v>324.48</v>
      </c>
      <c r="F59" s="8">
        <f ca="1">IFERROR(__xludf.DUMMYFUNCTION("INDEX(GOOGLEFINANCE(A59, ""open"", DATE(2025,2,3), DATE(2025,2,3)), 2, 2)"),353.51)</f>
        <v>353.51</v>
      </c>
      <c r="G59" s="8">
        <f ca="1">IFERROR(__xludf.DUMMYFUNCTION("INDEX(GOOGLEFINANCE(A59, ""close"", DATE(2025,2,7), DATE(2025,2,7)), 2, 2)"),375.72)</f>
        <v>375.72</v>
      </c>
      <c r="H59" s="9">
        <f t="shared" ca="1" si="0"/>
        <v>6.2827077027524076</v>
      </c>
      <c r="I59" s="10">
        <f t="shared" ca="1" si="1"/>
        <v>62.827077027524076</v>
      </c>
      <c r="J59" s="10" t="str">
        <f t="shared" si="2"/>
        <v>Put Spread</v>
      </c>
      <c r="K59" s="10" t="str">
        <f t="shared" ca="1" si="3"/>
        <v>Success</v>
      </c>
    </row>
    <row r="60" spans="1:11" ht="16">
      <c r="A60" s="1" t="s">
        <v>79</v>
      </c>
      <c r="B60" s="7" t="s">
        <v>14</v>
      </c>
      <c r="C60" s="8">
        <v>3.91</v>
      </c>
      <c r="D60" s="8" t="s">
        <v>15</v>
      </c>
      <c r="E60" s="8">
        <v>2.13</v>
      </c>
      <c r="F60" s="8">
        <f ca="1">IFERROR(__xludf.DUMMYFUNCTION("INDEX(GOOGLEFINANCE(A60, ""open"", DATE(2025,2,3), DATE(2025,2,3)), 2, 2)"),2.95)</f>
        <v>2.95</v>
      </c>
      <c r="G60" s="8">
        <f ca="1">IFERROR(__xludf.DUMMYFUNCTION("INDEX(GOOGLEFINANCE(A60, ""close"", DATE(2025,2,7), DATE(2025,2,7)), 2, 2)"),2.96)</f>
        <v>2.96</v>
      </c>
      <c r="H60" s="9">
        <f t="shared" ca="1" si="0"/>
        <v>0.3389830508474504</v>
      </c>
      <c r="I60" s="10">
        <f t="shared" ca="1" si="1"/>
        <v>3.3898305084745037</v>
      </c>
      <c r="J60" s="10" t="str">
        <f t="shared" si="2"/>
        <v>Put Spread</v>
      </c>
      <c r="K60" s="10" t="str">
        <f t="shared" ca="1" si="3"/>
        <v>Success</v>
      </c>
    </row>
    <row r="61" spans="1:11" ht="16">
      <c r="A61" s="1" t="s">
        <v>80</v>
      </c>
      <c r="B61" s="7" t="s">
        <v>14</v>
      </c>
      <c r="C61" s="8">
        <v>39.26</v>
      </c>
      <c r="D61" s="8" t="s">
        <v>15</v>
      </c>
      <c r="E61" s="8">
        <v>35.380000000000003</v>
      </c>
      <c r="F61" s="8">
        <f ca="1">IFERROR(__xludf.DUMMYFUNCTION("INDEX(GOOGLEFINANCE(A61, ""open"", DATE(2025,2,3), DATE(2025,2,3)), 2, 2)"),37.96)</f>
        <v>37.96</v>
      </c>
      <c r="G61" s="8">
        <f ca="1">IFERROR(__xludf.DUMMYFUNCTION("INDEX(GOOGLEFINANCE(A61, ""close"", DATE(2025,2,7), DATE(2025,2,7)), 2, 2)"),37.85)</f>
        <v>37.85</v>
      </c>
      <c r="H61" s="9">
        <f t="shared" ca="1" si="0"/>
        <v>-0.2897787144362472</v>
      </c>
      <c r="I61" s="10">
        <f t="shared" ca="1" si="1"/>
        <v>-2.8977871443624719</v>
      </c>
      <c r="J61" s="10" t="str">
        <f t="shared" si="2"/>
        <v>Put Spread</v>
      </c>
      <c r="K61" s="10" t="str">
        <f t="shared" ca="1" si="3"/>
        <v>Success</v>
      </c>
    </row>
    <row r="62" spans="1:11" ht="16">
      <c r="A62" s="1" t="s">
        <v>81</v>
      </c>
      <c r="B62" s="7" t="s">
        <v>14</v>
      </c>
      <c r="C62" s="8">
        <v>5.97</v>
      </c>
      <c r="D62" s="8" t="s">
        <v>15</v>
      </c>
      <c r="E62" s="8">
        <v>4.75</v>
      </c>
      <c r="F62" s="8">
        <f ca="1">IFERROR(__xludf.DUMMYFUNCTION("INDEX(GOOGLEFINANCE(A62, ""open"", DATE(2025,2,3), DATE(2025,2,3)), 2, 2)"),5.17)</f>
        <v>5.17</v>
      </c>
      <c r="G62" s="8">
        <f ca="1">IFERROR(__xludf.DUMMYFUNCTION("INDEX(GOOGLEFINANCE(A62, ""close"", DATE(2025,2,7), DATE(2025,2,7)), 2, 2)"),5.58)</f>
        <v>5.58</v>
      </c>
      <c r="H62" s="9">
        <f t="shared" ca="1" si="0"/>
        <v>7.9303675048355933</v>
      </c>
      <c r="I62" s="10">
        <f t="shared" ca="1" si="1"/>
        <v>79.303675048355942</v>
      </c>
      <c r="J62" s="10" t="str">
        <f t="shared" si="2"/>
        <v>Put Spread</v>
      </c>
      <c r="K62" s="10" t="str">
        <f t="shared" ca="1" si="3"/>
        <v>Success</v>
      </c>
    </row>
    <row r="63" spans="1:11" ht="16">
      <c r="A63" s="1" t="s">
        <v>82</v>
      </c>
      <c r="B63" s="7" t="s">
        <v>38</v>
      </c>
      <c r="C63" s="8">
        <v>189.27</v>
      </c>
      <c r="D63" s="8" t="s">
        <v>39</v>
      </c>
      <c r="E63" s="8">
        <v>207.17</v>
      </c>
      <c r="F63" s="8">
        <f ca="1">IFERROR(__xludf.DUMMYFUNCTION("INDEX(GOOGLEFINANCE(A63, ""open"", DATE(2025,2,3), DATE(2025,2,3)), 2, 2)"),192.98)</f>
        <v>192.98</v>
      </c>
      <c r="G63" s="8">
        <f ca="1">IFERROR(__xludf.DUMMYFUNCTION("INDEX(GOOGLEFINANCE(A63, ""close"", DATE(2025,2,7), DATE(2025,2,7)), 2, 2)"),190.34)</f>
        <v>190.34</v>
      </c>
      <c r="H63" s="9">
        <f t="shared" ca="1" si="0"/>
        <v>1.36801741113068</v>
      </c>
      <c r="I63" s="10">
        <f t="shared" ca="1" si="1"/>
        <v>13.680174111306799</v>
      </c>
      <c r="J63" s="10" t="str">
        <f t="shared" si="2"/>
        <v>Call Spread</v>
      </c>
      <c r="K63" s="10" t="str">
        <f t="shared" ca="1" si="3"/>
        <v>Success</v>
      </c>
    </row>
    <row r="64" spans="1:11" ht="16">
      <c r="A64" s="1" t="s">
        <v>83</v>
      </c>
      <c r="B64" s="7" t="s">
        <v>14</v>
      </c>
      <c r="C64" s="8">
        <v>13.42</v>
      </c>
      <c r="D64" s="8" t="s">
        <v>15</v>
      </c>
      <c r="E64" s="8">
        <v>11.14</v>
      </c>
      <c r="F64" s="8">
        <f ca="1">IFERROR(__xludf.DUMMYFUNCTION("INDEX(GOOGLEFINANCE(A64, ""open"", DATE(2025,2,3), DATE(2025,2,3)), 2, 2)"),11.9)</f>
        <v>11.9</v>
      </c>
      <c r="G64" s="8">
        <f ca="1">IFERROR(__xludf.DUMMYFUNCTION("INDEX(GOOGLEFINANCE(A64, ""close"", DATE(2025,2,7), DATE(2025,2,7)), 2, 2)"),12.19)</f>
        <v>12.19</v>
      </c>
      <c r="H64" s="9">
        <f t="shared" ca="1" si="0"/>
        <v>2.4369747899159591</v>
      </c>
      <c r="I64" s="10">
        <f t="shared" ca="1" si="1"/>
        <v>24.369747899159591</v>
      </c>
      <c r="J64" s="10" t="str">
        <f t="shared" si="2"/>
        <v>Put Spread</v>
      </c>
      <c r="K64" s="10" t="str">
        <f t="shared" ca="1" si="3"/>
        <v>Success</v>
      </c>
    </row>
    <row r="65" spans="1:11" ht="16">
      <c r="A65" s="1" t="s">
        <v>84</v>
      </c>
      <c r="B65" s="7" t="s">
        <v>14</v>
      </c>
      <c r="C65" s="8">
        <v>43.49</v>
      </c>
      <c r="D65" s="8" t="s">
        <v>15</v>
      </c>
      <c r="E65" s="8">
        <v>39.909999999999997</v>
      </c>
      <c r="F65" s="8">
        <f ca="1">IFERROR(__xludf.DUMMYFUNCTION("INDEX(GOOGLEFINANCE(A65, ""open"", DATE(2025,2,3), DATE(2025,2,3)), 2, 2)"),40.04)</f>
        <v>40.04</v>
      </c>
      <c r="G65" s="8">
        <f ca="1">IFERROR(__xludf.DUMMYFUNCTION("INDEX(GOOGLEFINANCE(A65, ""close"", DATE(2025,2,7), DATE(2025,2,7)), 2, 2)"),42.03)</f>
        <v>42.03</v>
      </c>
      <c r="H65" s="9">
        <f t="shared" ca="1" si="0"/>
        <v>4.9700299700299748</v>
      </c>
      <c r="I65" s="10">
        <f t="shared" ca="1" si="1"/>
        <v>49.700299700299745</v>
      </c>
      <c r="J65" s="10" t="str">
        <f t="shared" si="2"/>
        <v>Put Spread</v>
      </c>
      <c r="K65" s="10" t="str">
        <f t="shared" ca="1" si="3"/>
        <v>Success</v>
      </c>
    </row>
    <row r="66" spans="1:11" ht="16">
      <c r="A66" s="1" t="s">
        <v>85</v>
      </c>
      <c r="B66" s="7" t="s">
        <v>14</v>
      </c>
      <c r="C66" s="8">
        <v>28.68</v>
      </c>
      <c r="D66" s="8" t="s">
        <v>15</v>
      </c>
      <c r="E66" s="8">
        <v>25</v>
      </c>
      <c r="F66" s="8">
        <f ca="1">IFERROR(__xludf.DUMMYFUNCTION("INDEX(GOOGLEFINANCE(A66, ""open"", DATE(2025,2,3), DATE(2025,2,3)), 2, 2)"),4.87)</f>
        <v>4.87</v>
      </c>
      <c r="G66" s="8">
        <f ca="1">IFERROR(__xludf.DUMMYFUNCTION("INDEX(GOOGLEFINANCE(A66, ""close"", DATE(2025,2,7), DATE(2025,2,7)), 2, 2)"),4.97)</f>
        <v>4.97</v>
      </c>
      <c r="H66" s="9">
        <f t="shared" ca="1" si="0"/>
        <v>2.0533880903490687</v>
      </c>
      <c r="I66" s="10">
        <f t="shared" ca="1" si="1"/>
        <v>20.533880903490687</v>
      </c>
      <c r="J66" s="10" t="str">
        <f t="shared" si="2"/>
        <v>Put Spread</v>
      </c>
      <c r="K66" s="10" t="str">
        <f t="shared" ca="1" si="3"/>
        <v>No</v>
      </c>
    </row>
    <row r="67" spans="1:11" ht="16">
      <c r="A67" s="1" t="s">
        <v>86</v>
      </c>
      <c r="B67" s="7" t="s">
        <v>38</v>
      </c>
      <c r="C67" s="8">
        <v>59.77</v>
      </c>
      <c r="D67" s="8" t="s">
        <v>39</v>
      </c>
      <c r="E67" s="8">
        <v>65.97</v>
      </c>
      <c r="F67" s="8">
        <f ca="1">IFERROR(__xludf.DUMMYFUNCTION("INDEX(GOOGLEFINANCE(A67, ""open"", DATE(2025,2,3), DATE(2025,2,3)), 2, 2)"),60.24)</f>
        <v>60.24</v>
      </c>
      <c r="G67" s="8">
        <f ca="1">IFERROR(__xludf.DUMMYFUNCTION("INDEX(GOOGLEFINANCE(A67, ""close"", DATE(2025,2,7), DATE(2025,2,7)), 2, 2)"),62.76)</f>
        <v>62.76</v>
      </c>
      <c r="H67" s="9">
        <f t="shared" ca="1" si="0"/>
        <v>-4.18326693227091</v>
      </c>
      <c r="I67" s="10">
        <f t="shared" ca="1" si="1"/>
        <v>-41.832669322709101</v>
      </c>
      <c r="J67" s="10" t="str">
        <f t="shared" si="2"/>
        <v>Call Spread</v>
      </c>
      <c r="K67" s="10" t="str">
        <f t="shared" ca="1" si="3"/>
        <v>Success</v>
      </c>
    </row>
    <row r="68" spans="1:11" ht="16">
      <c r="A68" s="1" t="s">
        <v>87</v>
      </c>
      <c r="B68" s="7" t="s">
        <v>14</v>
      </c>
      <c r="C68" s="8">
        <v>174.03</v>
      </c>
      <c r="D68" s="8" t="s">
        <v>15</v>
      </c>
      <c r="E68" s="8">
        <v>145.07</v>
      </c>
      <c r="F68" s="8">
        <f ca="1">IFERROR(__xludf.DUMMYFUNCTION("INDEX(GOOGLEFINANCE(A68, ""open"", DATE(2025,2,3), DATE(2025,2,3)), 2, 2)"),153.55)</f>
        <v>153.55000000000001</v>
      </c>
      <c r="G68" s="8">
        <f ca="1">IFERROR(__xludf.DUMMYFUNCTION("INDEX(GOOGLEFINANCE(A68, ""close"", DATE(2025,2,7), DATE(2025,2,7)), 2, 2)"),162.51)</f>
        <v>162.51</v>
      </c>
      <c r="H68" s="9">
        <f t="shared" ca="1" si="0"/>
        <v>5.8352328231846169</v>
      </c>
      <c r="I68" s="10">
        <f t="shared" ca="1" si="1"/>
        <v>58.352328231846165</v>
      </c>
      <c r="J68" s="10" t="str">
        <f t="shared" si="2"/>
        <v>Put Spread</v>
      </c>
      <c r="K68" s="10" t="str">
        <f t="shared" ca="1" si="3"/>
        <v>Success</v>
      </c>
    </row>
    <row r="69" spans="1:11" ht="16">
      <c r="A69" s="1" t="s">
        <v>88</v>
      </c>
      <c r="B69" s="7" t="s">
        <v>14</v>
      </c>
      <c r="C69" s="8">
        <v>21.86</v>
      </c>
      <c r="D69" s="8" t="s">
        <v>15</v>
      </c>
      <c r="E69" s="8">
        <v>17.899999999999999</v>
      </c>
      <c r="F69" s="8">
        <f ca="1">IFERROR(__xludf.DUMMYFUNCTION("INDEX(GOOGLEFINANCE(A69, ""open"", DATE(2025,2,3), DATE(2025,2,3)), 2, 2)"),19.03)</f>
        <v>19.03</v>
      </c>
      <c r="G69" s="8">
        <f ca="1">IFERROR(__xludf.DUMMYFUNCTION("INDEX(GOOGLEFINANCE(A69, ""close"", DATE(2025,2,7), DATE(2025,2,7)), 2, 2)"),20.24)</f>
        <v>20.239999999999998</v>
      </c>
      <c r="H69" s="9">
        <f t="shared" ca="1" si="0"/>
        <v>6.3583815028901594</v>
      </c>
      <c r="I69" s="10">
        <f t="shared" ca="1" si="1"/>
        <v>63.58381502890159</v>
      </c>
      <c r="J69" s="10" t="str">
        <f t="shared" si="2"/>
        <v>Put Spread</v>
      </c>
      <c r="K69" s="10" t="str">
        <f t="shared" ca="1" si="3"/>
        <v>Success</v>
      </c>
    </row>
    <row r="70" spans="1:11" ht="16">
      <c r="A70" s="1" t="s">
        <v>89</v>
      </c>
      <c r="B70" s="7" t="s">
        <v>14</v>
      </c>
      <c r="C70" s="8">
        <v>23.57</v>
      </c>
      <c r="D70" s="8" t="s">
        <v>15</v>
      </c>
      <c r="E70" s="8">
        <v>19.11</v>
      </c>
      <c r="F70" s="8">
        <f ca="1">IFERROR(__xludf.DUMMYFUNCTION("INDEX(GOOGLEFINANCE(A70, ""open"", DATE(2025,2,3), DATE(2025,2,3)), 2, 2)"),20.37)</f>
        <v>20.37</v>
      </c>
      <c r="G70" s="8">
        <f ca="1">IFERROR(__xludf.DUMMYFUNCTION("INDEX(GOOGLEFINANCE(A70, ""close"", DATE(2025,2,7), DATE(2025,2,7)), 2, 2)"),21.82)</f>
        <v>21.82</v>
      </c>
      <c r="H70" s="9">
        <f t="shared" ca="1" si="0"/>
        <v>7.1183112420225774</v>
      </c>
      <c r="I70" s="10">
        <f t="shared" ca="1" si="1"/>
        <v>71.183112420225768</v>
      </c>
      <c r="J70" s="10" t="str">
        <f t="shared" si="2"/>
        <v>Put Spread</v>
      </c>
      <c r="K70" s="10" t="str">
        <f t="shared" ca="1" si="3"/>
        <v>Success</v>
      </c>
    </row>
    <row r="71" spans="1:11" ht="16">
      <c r="A71" s="1" t="s">
        <v>90</v>
      </c>
      <c r="B71" s="7" t="s">
        <v>14</v>
      </c>
      <c r="C71" s="8">
        <v>26.96</v>
      </c>
      <c r="D71" s="8" t="s">
        <v>15</v>
      </c>
      <c r="E71" s="8">
        <v>25.04</v>
      </c>
      <c r="F71" s="8">
        <f ca="1">IFERROR(__xludf.DUMMYFUNCTION("INDEX(GOOGLEFINANCE(A71, ""open"", DATE(2025,2,3), DATE(2025,2,3)), 2, 2)"),25.68)</f>
        <v>25.68</v>
      </c>
      <c r="G71" s="8">
        <f ca="1">IFERROR(__xludf.DUMMYFUNCTION("INDEX(GOOGLEFINANCE(A71, ""close"", DATE(2025,2,7), DATE(2025,2,7)), 2, 2)"),26.45)</f>
        <v>26.45</v>
      </c>
      <c r="H71" s="9">
        <f t="shared" ca="1" si="0"/>
        <v>2.9984423676012444</v>
      </c>
      <c r="I71" s="10">
        <f t="shared" ca="1" si="1"/>
        <v>29.984423676012444</v>
      </c>
      <c r="J71" s="10" t="str">
        <f t="shared" si="2"/>
        <v>Put Spread</v>
      </c>
      <c r="K71" s="10" t="str">
        <f t="shared" ca="1" si="3"/>
        <v>Success</v>
      </c>
    </row>
    <row r="72" spans="1:11" ht="16">
      <c r="A72" s="1" t="s">
        <v>91</v>
      </c>
      <c r="B72" s="7" t="s">
        <v>14</v>
      </c>
      <c r="C72" s="8">
        <v>28.31</v>
      </c>
      <c r="D72" s="8" t="s">
        <v>15</v>
      </c>
      <c r="E72" s="8">
        <v>26.77</v>
      </c>
      <c r="F72" s="8">
        <f ca="1">IFERROR(__xludf.DUMMYFUNCTION("INDEX(GOOGLEFINANCE(A72, ""open"", DATE(2025,2,3), DATE(2025,2,3)), 2, 2)"),27.14)</f>
        <v>27.14</v>
      </c>
      <c r="G72" s="8">
        <f ca="1">IFERROR(__xludf.DUMMYFUNCTION("INDEX(GOOGLEFINANCE(A72, ""close"", DATE(2025,2,7), DATE(2025,2,7)), 2, 2)"),28.57)</f>
        <v>28.57</v>
      </c>
      <c r="H72" s="9">
        <f t="shared" ca="1" si="0"/>
        <v>5.2689756816506987</v>
      </c>
      <c r="I72" s="10">
        <f t="shared" ca="1" si="1"/>
        <v>52.689756816506986</v>
      </c>
      <c r="J72" s="10" t="str">
        <f t="shared" si="2"/>
        <v>Put Spread</v>
      </c>
      <c r="K72" s="10" t="str">
        <f t="shared" ca="1" si="3"/>
        <v>Success</v>
      </c>
    </row>
    <row r="73" spans="1:11" ht="16">
      <c r="A73" s="1" t="s">
        <v>92</v>
      </c>
      <c r="B73" s="7" t="s">
        <v>14</v>
      </c>
      <c r="C73" s="8">
        <v>777.07</v>
      </c>
      <c r="D73" s="8" t="s">
        <v>15</v>
      </c>
      <c r="E73" s="8">
        <v>701.55</v>
      </c>
      <c r="F73" s="8">
        <f ca="1">IFERROR(__xludf.DUMMYFUNCTION("INDEX(GOOGLEFINANCE(A73, ""open"", DATE(2025,2,3), DATE(2025,2,3)), 2, 2)"),719.13)</f>
        <v>719.13</v>
      </c>
      <c r="G73" s="8">
        <f ca="1">IFERROR(__xludf.DUMMYFUNCTION("INDEX(GOOGLEFINANCE(A73, ""close"", DATE(2025,2,7), DATE(2025,2,7)), 2, 2)"),727.7)</f>
        <v>727.7</v>
      </c>
      <c r="H73" s="9">
        <f t="shared" ca="1" si="0"/>
        <v>1.1917177700833022</v>
      </c>
      <c r="I73" s="10">
        <f t="shared" ca="1" si="1"/>
        <v>11.917177700833022</v>
      </c>
      <c r="J73" s="10" t="str">
        <f t="shared" si="2"/>
        <v>Put Spread</v>
      </c>
      <c r="K73" s="10" t="str">
        <f t="shared" ca="1" si="3"/>
        <v>Success</v>
      </c>
    </row>
    <row r="74" spans="1:11" ht="16">
      <c r="A74" s="1" t="s">
        <v>93</v>
      </c>
      <c r="B74" s="7" t="s">
        <v>14</v>
      </c>
      <c r="C74" s="8">
        <v>22.79</v>
      </c>
      <c r="D74" s="8" t="s">
        <v>15</v>
      </c>
      <c r="E74" s="8">
        <v>17.690000000000001</v>
      </c>
      <c r="F74" s="8">
        <f ca="1">IFERROR(__xludf.DUMMYFUNCTION("INDEX(GOOGLEFINANCE(A74, ""open"", DATE(2025,2,3), DATE(2025,2,3)), 2, 2)"),18.89)</f>
        <v>18.89</v>
      </c>
      <c r="G74" s="8">
        <f ca="1">IFERROR(__xludf.DUMMYFUNCTION("INDEX(GOOGLEFINANCE(A74, ""close"", DATE(2025,2,7), DATE(2025,2,7)), 2, 2)"),26.51)</f>
        <v>26.51</v>
      </c>
      <c r="H74" s="9">
        <f t="shared" ca="1" si="0"/>
        <v>40.33880359978825</v>
      </c>
      <c r="I74" s="10">
        <f t="shared" ca="1" si="1"/>
        <v>403.38803599788247</v>
      </c>
      <c r="J74" s="10" t="str">
        <f t="shared" si="2"/>
        <v>Put Spread</v>
      </c>
      <c r="K74" s="10" t="str">
        <f t="shared" ca="1" si="3"/>
        <v>Success</v>
      </c>
    </row>
    <row r="75" spans="1:11" ht="16">
      <c r="A75" s="1" t="s">
        <v>94</v>
      </c>
      <c r="B75" s="7" t="s">
        <v>14</v>
      </c>
      <c r="C75" s="8">
        <v>44.28</v>
      </c>
      <c r="D75" s="8" t="s">
        <v>15</v>
      </c>
      <c r="E75" s="8">
        <v>39.36</v>
      </c>
      <c r="F75" s="8">
        <f ca="1">IFERROR(__xludf.DUMMYFUNCTION("INDEX(GOOGLEFINANCE(A75, ""open"", DATE(2025,2,3), DATE(2025,2,3)), 2, 2)"),41.32)</f>
        <v>41.32</v>
      </c>
      <c r="G75" s="8">
        <f ca="1">IFERROR(__xludf.DUMMYFUNCTION("INDEX(GOOGLEFINANCE(A75, ""close"", DATE(2025,2,7), DATE(2025,2,7)), 2, 2)"),40.97)</f>
        <v>40.97</v>
      </c>
      <c r="H75" s="9">
        <f t="shared" ca="1" si="0"/>
        <v>-0.84704743465634413</v>
      </c>
      <c r="I75" s="10">
        <f t="shared" ca="1" si="1"/>
        <v>-8.4704743465634404</v>
      </c>
      <c r="J75" s="10" t="str">
        <f t="shared" si="2"/>
        <v>Put Spread</v>
      </c>
      <c r="K75" s="10" t="str">
        <f t="shared" ca="1" si="3"/>
        <v>Success</v>
      </c>
    </row>
    <row r="76" spans="1:11" ht="16">
      <c r="A76" s="1" t="s">
        <v>95</v>
      </c>
      <c r="B76" s="7" t="s">
        <v>14</v>
      </c>
      <c r="C76" s="8">
        <v>31.94</v>
      </c>
      <c r="D76" s="8" t="s">
        <v>15</v>
      </c>
      <c r="E76" s="8">
        <v>28.48</v>
      </c>
      <c r="F76" s="8">
        <f ca="1">IFERROR(__xludf.DUMMYFUNCTION("INDEX(GOOGLEFINANCE(A76, ""open"", DATE(2025,2,3), DATE(2025,2,3)), 2, 2)"),30.73)</f>
        <v>30.73</v>
      </c>
      <c r="G76" s="8">
        <f ca="1">IFERROR(__xludf.DUMMYFUNCTION("INDEX(GOOGLEFINANCE(A76, ""close"", DATE(2025,2,7), DATE(2025,2,7)), 2, 2)"),31.43)</f>
        <v>31.43</v>
      </c>
      <c r="H76" s="9">
        <f t="shared" ca="1" si="0"/>
        <v>2.277904328018221</v>
      </c>
      <c r="I76" s="10">
        <f t="shared" ca="1" si="1"/>
        <v>22.779043280182208</v>
      </c>
      <c r="J76" s="10" t="str">
        <f t="shared" si="2"/>
        <v>Put Spread</v>
      </c>
      <c r="K76" s="10" t="str">
        <f t="shared" ca="1" si="3"/>
        <v>Success</v>
      </c>
    </row>
    <row r="77" spans="1:11" ht="16">
      <c r="A77" s="1" t="s">
        <v>96</v>
      </c>
      <c r="B77" s="7" t="s">
        <v>14</v>
      </c>
      <c r="C77" s="8">
        <v>8.0299999999999994</v>
      </c>
      <c r="D77" s="8" t="s">
        <v>15</v>
      </c>
      <c r="E77" s="8">
        <v>5.57</v>
      </c>
      <c r="F77" s="8">
        <f ca="1">IFERROR(__xludf.DUMMYFUNCTION("INDEX(GOOGLEFINANCE(A77, ""open"", DATE(2025,2,3), DATE(2025,2,3)), 2, 2)"),6.45)</f>
        <v>6.45</v>
      </c>
      <c r="G77" s="8">
        <f ca="1">IFERROR(__xludf.DUMMYFUNCTION("INDEX(GOOGLEFINANCE(A77, ""close"", DATE(2025,2,7), DATE(2025,2,7)), 2, 2)"),7.2)</f>
        <v>7.2</v>
      </c>
      <c r="H77" s="9">
        <f t="shared" ca="1" si="0"/>
        <v>11.627906976744185</v>
      </c>
      <c r="I77" s="10">
        <f t="shared" ca="1" si="1"/>
        <v>116.27906976744185</v>
      </c>
      <c r="J77" s="10" t="str">
        <f t="shared" si="2"/>
        <v>Put Spread</v>
      </c>
      <c r="K77" s="10" t="str">
        <f t="shared" ca="1" si="3"/>
        <v>Success</v>
      </c>
    </row>
    <row r="78" spans="1:11" ht="16">
      <c r="A78" s="1" t="s">
        <v>97</v>
      </c>
      <c r="B78" s="7" t="s">
        <v>14</v>
      </c>
      <c r="C78" s="8">
        <v>237.95</v>
      </c>
      <c r="D78" s="8" t="s">
        <v>15</v>
      </c>
      <c r="E78" s="8">
        <v>204.59</v>
      </c>
      <c r="F78" s="8">
        <f ca="1">IFERROR(__xludf.DUMMYFUNCTION("INDEX(GOOGLEFINANCE(A78, ""open"", DATE(2025,2,3), DATE(2025,2,3)), 2, 2)"),215.46)</f>
        <v>215.46</v>
      </c>
      <c r="G78" s="8">
        <f ca="1">IFERROR(__xludf.DUMMYFUNCTION("INDEX(GOOGLEFINANCE(A78, ""close"", DATE(2025,2,7), DATE(2025,2,7)), 2, 2)"),224.87)</f>
        <v>224.87</v>
      </c>
      <c r="H78" s="9">
        <f t="shared" ca="1" si="0"/>
        <v>4.3673999814350672</v>
      </c>
      <c r="I78" s="10">
        <f t="shared" ca="1" si="1"/>
        <v>43.673999814350672</v>
      </c>
      <c r="J78" s="10" t="str">
        <f t="shared" si="2"/>
        <v>Put Spread</v>
      </c>
      <c r="K78" s="10" t="str">
        <f t="shared" ca="1" si="3"/>
        <v>Success</v>
      </c>
    </row>
    <row r="79" spans="1:11" ht="16">
      <c r="A79" s="1" t="s">
        <v>98</v>
      </c>
      <c r="B79" s="7" t="s">
        <v>38</v>
      </c>
      <c r="C79" s="8">
        <v>121.08</v>
      </c>
      <c r="D79" s="8" t="s">
        <v>39</v>
      </c>
      <c r="E79" s="8">
        <v>128.19999999999999</v>
      </c>
      <c r="F79" s="8">
        <f ca="1">IFERROR(__xludf.DUMMYFUNCTION("INDEX(GOOGLEFINANCE(A79, ""open"", DATE(2025,2,3), DATE(2025,2,3)), 2, 2)"),124.34)</f>
        <v>124.34</v>
      </c>
      <c r="G79" s="8">
        <f ca="1">IFERROR(__xludf.DUMMYFUNCTION("INDEX(GOOGLEFINANCE(A79, ""close"", DATE(2025,2,7), DATE(2025,2,7)), 2, 2)"),122.49)</f>
        <v>122.49</v>
      </c>
      <c r="H79" s="9">
        <f t="shared" ca="1" si="0"/>
        <v>1.487855879041345</v>
      </c>
      <c r="I79" s="10">
        <f t="shared" ca="1" si="1"/>
        <v>14.878558790413448</v>
      </c>
      <c r="J79" s="10" t="str">
        <f t="shared" si="2"/>
        <v>Call Spread</v>
      </c>
      <c r="K79" s="10" t="str">
        <f t="shared" ca="1" si="3"/>
        <v>Success</v>
      </c>
    </row>
    <row r="80" spans="1:11" ht="16">
      <c r="A80" s="1" t="s">
        <v>99</v>
      </c>
      <c r="B80" s="7" t="s">
        <v>38</v>
      </c>
      <c r="C80" s="8">
        <v>67</v>
      </c>
      <c r="D80" s="8" t="s">
        <v>39</v>
      </c>
      <c r="E80" s="8">
        <v>72.86</v>
      </c>
      <c r="F80" s="8">
        <f ca="1">IFERROR(__xludf.DUMMYFUNCTION("INDEX(GOOGLEFINANCE(A80, ""open"", DATE(2025,2,3), DATE(2025,2,3)), 2, 2)"),67.83)</f>
        <v>67.83</v>
      </c>
      <c r="G80" s="8">
        <f ca="1">IFERROR(__xludf.DUMMYFUNCTION("INDEX(GOOGLEFINANCE(A80, ""close"", DATE(2025,2,7), DATE(2025,2,7)), 2, 2)"),71.95)</f>
        <v>71.95</v>
      </c>
      <c r="H80" s="9">
        <f t="shared" ca="1" si="0"/>
        <v>-6.0740085507887436</v>
      </c>
      <c r="I80" s="10">
        <f t="shared" ca="1" si="1"/>
        <v>-60.740085507887436</v>
      </c>
      <c r="J80" s="10" t="str">
        <f t="shared" si="2"/>
        <v>Call Spread</v>
      </c>
      <c r="K80" s="10" t="str">
        <f t="shared" ca="1" si="3"/>
        <v>Success</v>
      </c>
    </row>
    <row r="81" spans="1:11" ht="16">
      <c r="A81" s="1" t="s">
        <v>100</v>
      </c>
      <c r="B81" s="7" t="s">
        <v>14</v>
      </c>
      <c r="C81" s="8">
        <v>703.32</v>
      </c>
      <c r="D81" s="8" t="s">
        <v>15</v>
      </c>
      <c r="E81" s="8">
        <v>601.04</v>
      </c>
      <c r="F81" s="8">
        <f ca="1">IFERROR(__xludf.DUMMYFUNCTION("INDEX(GOOGLEFINANCE(A81, ""open"", DATE(2025,2,3), DATE(2025,2,3)), 2, 2)"),640.75)</f>
        <v>640.75</v>
      </c>
      <c r="G81" s="8">
        <f ca="1">IFERROR(__xludf.DUMMYFUNCTION("INDEX(GOOGLEFINANCE(A81, ""close"", DATE(2025,2,7), DATE(2025,2,7)), 2, 2)"),679.24)</f>
        <v>679.24</v>
      </c>
      <c r="H81" s="9">
        <f t="shared" ca="1" si="0"/>
        <v>6.0070230198985577</v>
      </c>
      <c r="I81" s="10">
        <f t="shared" ca="1" si="1"/>
        <v>60.07023019898557</v>
      </c>
      <c r="J81" s="10" t="str">
        <f t="shared" si="2"/>
        <v>Put Spread</v>
      </c>
      <c r="K81" s="10" t="str">
        <f t="shared" ca="1" si="3"/>
        <v>Success</v>
      </c>
    </row>
    <row r="82" spans="1:11" ht="16">
      <c r="A82" s="1" t="s">
        <v>101</v>
      </c>
      <c r="B82" s="7" t="s">
        <v>14</v>
      </c>
      <c r="C82" s="8">
        <v>327.45</v>
      </c>
      <c r="D82" s="8" t="s">
        <v>15</v>
      </c>
      <c r="E82" s="8">
        <v>307.45</v>
      </c>
      <c r="F82" s="8">
        <f ca="1">IFERROR(__xludf.DUMMYFUNCTION("INDEX(GOOGLEFINANCE(A82, ""open"", DATE(2025,2,3), DATE(2025,2,3)), 2, 2)"),312.19)</f>
        <v>312.19</v>
      </c>
      <c r="G82" s="8">
        <f ca="1">IFERROR(__xludf.DUMMYFUNCTION("INDEX(GOOGLEFINANCE(A82, ""close"", DATE(2025,2,7), DATE(2025,2,7)), 2, 2)"),316.77)</f>
        <v>316.77</v>
      </c>
      <c r="H82" s="9">
        <f t="shared" ca="1" si="0"/>
        <v>1.4670553188763202</v>
      </c>
      <c r="I82" s="10">
        <f t="shared" ca="1" si="1"/>
        <v>14.670553188763201</v>
      </c>
      <c r="J82" s="10" t="str">
        <f t="shared" si="2"/>
        <v>Put Spread</v>
      </c>
      <c r="K82" s="10" t="str">
        <f t="shared" ca="1" si="3"/>
        <v>Success</v>
      </c>
    </row>
    <row r="83" spans="1:11" ht="16">
      <c r="A83" s="1" t="s">
        <v>102</v>
      </c>
      <c r="B83" s="7" t="s">
        <v>14</v>
      </c>
      <c r="C83" s="8">
        <v>73.25</v>
      </c>
      <c r="D83" s="8" t="s">
        <v>15</v>
      </c>
      <c r="E83" s="8">
        <v>68.27</v>
      </c>
      <c r="F83" s="8">
        <f ca="1">IFERROR(__xludf.DUMMYFUNCTION("INDEX(GOOGLEFINANCE(A83, ""open"", DATE(2025,2,3), DATE(2025,2,3)), 2, 2)"),70.25)</f>
        <v>70.25</v>
      </c>
      <c r="G83" s="8">
        <f ca="1">IFERROR(__xludf.DUMMYFUNCTION("INDEX(GOOGLEFINANCE(A83, ""close"", DATE(2025,2,7), DATE(2025,2,7)), 2, 2)"),71.99)</f>
        <v>71.989999999999995</v>
      </c>
      <c r="H83" s="9">
        <f t="shared" ca="1" si="0"/>
        <v>2.4768683274021281</v>
      </c>
      <c r="I83" s="10">
        <f t="shared" ca="1" si="1"/>
        <v>24.768683274021281</v>
      </c>
      <c r="J83" s="10" t="str">
        <f t="shared" si="2"/>
        <v>Put Spread</v>
      </c>
      <c r="K83" s="10" t="str">
        <f t="shared" ca="1" si="3"/>
        <v>Success</v>
      </c>
    </row>
    <row r="84" spans="1:11" ht="16">
      <c r="A84" s="1" t="s">
        <v>103</v>
      </c>
      <c r="B84" s="7" t="s">
        <v>14</v>
      </c>
      <c r="C84" s="8">
        <v>184.17</v>
      </c>
      <c r="D84" s="8" t="s">
        <v>15</v>
      </c>
      <c r="E84" s="8">
        <v>168.87</v>
      </c>
      <c r="F84" s="8">
        <f ca="1">IFERROR(__xludf.DUMMYFUNCTION("INDEX(GOOGLEFINANCE(A84, ""open"", DATE(2025,2,3), DATE(2025,2,3)), 2, 2)"),174.11)</f>
        <v>174.11</v>
      </c>
      <c r="G84" s="8">
        <f ca="1">IFERROR(__xludf.DUMMYFUNCTION("INDEX(GOOGLEFINANCE(A84, ""close"", DATE(2025,2,7), DATE(2025,2,7)), 2, 2)"),181.49)</f>
        <v>181.49</v>
      </c>
      <c r="H84" s="9">
        <f t="shared" ca="1" si="0"/>
        <v>4.2386996726207542</v>
      </c>
      <c r="I84" s="10">
        <f t="shared" ca="1" si="1"/>
        <v>42.386996726207542</v>
      </c>
      <c r="J84" s="10" t="str">
        <f t="shared" si="2"/>
        <v>Put Spread</v>
      </c>
      <c r="K84" s="10" t="str">
        <f t="shared" ca="1" si="3"/>
        <v>Success</v>
      </c>
    </row>
    <row r="85" spans="1:11" ht="16">
      <c r="A85" s="1" t="s">
        <v>104</v>
      </c>
      <c r="B85" s="7" t="s">
        <v>14</v>
      </c>
      <c r="C85" s="8">
        <v>105.02</v>
      </c>
      <c r="D85" s="8" t="s">
        <v>15</v>
      </c>
      <c r="E85" s="8">
        <v>92.66</v>
      </c>
      <c r="F85" s="8">
        <f ca="1">IFERROR(__xludf.DUMMYFUNCTION("INDEX(GOOGLEFINANCE(A85, ""open"", DATE(2025,2,3), DATE(2025,2,3)), 2, 2)"),96.51)</f>
        <v>96.51</v>
      </c>
      <c r="G85" s="8">
        <f ca="1">IFERROR(__xludf.DUMMYFUNCTION("INDEX(GOOGLEFINANCE(A85, ""close"", DATE(2025,2,7), DATE(2025,2,7)), 2, 2)"),103.51)</f>
        <v>103.51</v>
      </c>
      <c r="H85" s="9">
        <f t="shared" ca="1" si="0"/>
        <v>7.25313439021863</v>
      </c>
      <c r="I85" s="10">
        <f t="shared" ca="1" si="1"/>
        <v>72.531343902186293</v>
      </c>
      <c r="J85" s="10" t="str">
        <f t="shared" si="2"/>
        <v>Put Spread</v>
      </c>
      <c r="K85" s="10" t="str">
        <f t="shared" ca="1" si="3"/>
        <v>Success</v>
      </c>
    </row>
    <row r="86" spans="1:11" ht="16">
      <c r="A86" s="1" t="s">
        <v>105</v>
      </c>
      <c r="B86" s="7" t="s">
        <v>14</v>
      </c>
      <c r="C86" s="8">
        <v>47.67</v>
      </c>
      <c r="D86" s="8" t="s">
        <v>15</v>
      </c>
      <c r="E86" s="8">
        <v>44.93</v>
      </c>
      <c r="F86" s="8">
        <f ca="1">IFERROR(__xludf.DUMMYFUNCTION("INDEX(GOOGLEFINANCE(A86, ""open"", DATE(2025,2,3), DATE(2025,2,3)), 2, 2)"),45.42)</f>
        <v>45.42</v>
      </c>
      <c r="G86" s="8">
        <f ca="1">IFERROR(__xludf.DUMMYFUNCTION("INDEX(GOOGLEFINANCE(A86, ""close"", DATE(2025,2,7), DATE(2025,2,7)), 2, 2)"),47.4)</f>
        <v>47.4</v>
      </c>
      <c r="H86" s="9">
        <f t="shared" ca="1" si="0"/>
        <v>4.3593130779392268</v>
      </c>
      <c r="I86" s="10">
        <f t="shared" ca="1" si="1"/>
        <v>43.593130779392268</v>
      </c>
      <c r="J86" s="10" t="str">
        <f t="shared" si="2"/>
        <v>Put Spread</v>
      </c>
      <c r="K86" s="10" t="str">
        <f t="shared" ca="1" si="3"/>
        <v>Success</v>
      </c>
    </row>
    <row r="87" spans="1:11" ht="16">
      <c r="A87" s="1" t="s">
        <v>106</v>
      </c>
      <c r="B87" s="7" t="s">
        <v>14</v>
      </c>
      <c r="C87" s="8">
        <v>57.95</v>
      </c>
      <c r="D87" s="8" t="s">
        <v>15</v>
      </c>
      <c r="E87" s="8">
        <v>53.45</v>
      </c>
      <c r="F87" s="8">
        <f ca="1">IFERROR(__xludf.DUMMYFUNCTION("INDEX(GOOGLEFINANCE(A87, ""open"", DATE(2025,2,3), DATE(2025,2,3)), 2, 2)"),54.58)</f>
        <v>54.58</v>
      </c>
      <c r="G87" s="8">
        <f ca="1">IFERROR(__xludf.DUMMYFUNCTION("INDEX(GOOGLEFINANCE(A87, ""close"", DATE(2025,2,7), DATE(2025,2,7)), 2, 2)"),50.47)</f>
        <v>50.47</v>
      </c>
      <c r="H87" s="9">
        <f t="shared" ca="1" si="0"/>
        <v>-7.530230853792597</v>
      </c>
      <c r="I87" s="10">
        <f t="shared" ca="1" si="1"/>
        <v>-75.302308537925967</v>
      </c>
      <c r="J87" s="10" t="str">
        <f t="shared" si="2"/>
        <v>Put Spread</v>
      </c>
      <c r="K87" s="10" t="str">
        <f t="shared" ca="1" si="3"/>
        <v>No</v>
      </c>
    </row>
    <row r="88" spans="1:11" ht="16">
      <c r="A88" s="1" t="s">
        <v>107</v>
      </c>
      <c r="B88" s="7" t="s">
        <v>14</v>
      </c>
      <c r="C88" s="8">
        <v>4.83</v>
      </c>
      <c r="D88" s="8" t="s">
        <v>15</v>
      </c>
      <c r="E88" s="8">
        <v>4.05</v>
      </c>
      <c r="F88" s="8">
        <f ca="1">IFERROR(__xludf.DUMMYFUNCTION("INDEX(GOOGLEFINANCE(A88, ""open"", DATE(2025,2,3), DATE(2025,2,3)), 2, 2)"),4.21)</f>
        <v>4.21</v>
      </c>
      <c r="G88" s="8">
        <f ca="1">IFERROR(__xludf.DUMMYFUNCTION("INDEX(GOOGLEFINANCE(A88, ""close"", DATE(2025,2,7), DATE(2025,2,7)), 2, 2)"),5.25)</f>
        <v>5.25</v>
      </c>
      <c r="H88" s="9">
        <f t="shared" ca="1" si="0"/>
        <v>24.703087885985749</v>
      </c>
      <c r="I88" s="10">
        <f t="shared" ca="1" si="1"/>
        <v>247.03087885985747</v>
      </c>
      <c r="J88" s="10" t="str">
        <f t="shared" si="2"/>
        <v>Put Spread</v>
      </c>
      <c r="K88" s="10" t="str">
        <f t="shared" ca="1" si="3"/>
        <v>Success</v>
      </c>
    </row>
    <row r="89" spans="1:11" ht="16">
      <c r="A89" s="1" t="s">
        <v>108</v>
      </c>
      <c r="B89" s="7" t="s">
        <v>14</v>
      </c>
      <c r="C89" s="8">
        <v>5</v>
      </c>
      <c r="D89" s="8" t="s">
        <v>15</v>
      </c>
      <c r="E89" s="8">
        <v>3.48</v>
      </c>
      <c r="F89" s="8">
        <f ca="1">IFERROR(__xludf.DUMMYFUNCTION("INDEX(GOOGLEFINANCE(A89, ""open"", DATE(2025,2,3), DATE(2025,2,3)), 2, 2)"),3.83)</f>
        <v>3.83</v>
      </c>
      <c r="G89" s="8">
        <f ca="1">IFERROR(__xludf.DUMMYFUNCTION("INDEX(GOOGLEFINANCE(A89, ""close"", DATE(2025,2,7), DATE(2025,2,7)), 2, 2)"),8.59)</f>
        <v>8.59</v>
      </c>
      <c r="H89" s="9">
        <f t="shared" ca="1" si="0"/>
        <v>124.28198433420366</v>
      </c>
      <c r="I89" s="10">
        <f t="shared" ca="1" si="1"/>
        <v>1242.8198433420366</v>
      </c>
      <c r="J89" s="10" t="str">
        <f t="shared" si="2"/>
        <v>Put Spread</v>
      </c>
      <c r="K89" s="10" t="str">
        <f t="shared" ca="1" si="3"/>
        <v>Success</v>
      </c>
    </row>
    <row r="90" spans="1:11" ht="16">
      <c r="A90" s="1" t="s">
        <v>109</v>
      </c>
      <c r="B90" s="7" t="s">
        <v>14</v>
      </c>
      <c r="C90" s="8">
        <v>40.58</v>
      </c>
      <c r="D90" s="8" t="s">
        <v>15</v>
      </c>
      <c r="E90" s="8">
        <v>34.64</v>
      </c>
      <c r="F90" s="8">
        <f ca="1">IFERROR(__xludf.DUMMYFUNCTION("INDEX(GOOGLEFINANCE(A90, ""open"", DATE(2025,2,3), DATE(2025,2,3)), 2, 2)"),36.73)</f>
        <v>36.729999999999997</v>
      </c>
      <c r="G90" s="8">
        <f ca="1">IFERROR(__xludf.DUMMYFUNCTION("INDEX(GOOGLEFINANCE(A90, ""close"", DATE(2025,2,7), DATE(2025,2,7)), 2, 2)"),35.89)</f>
        <v>35.89</v>
      </c>
      <c r="H90" s="9">
        <f t="shared" ca="1" si="0"/>
        <v>-2.286958889191387</v>
      </c>
      <c r="I90" s="10">
        <f t="shared" ca="1" si="1"/>
        <v>-22.869588891913867</v>
      </c>
      <c r="J90" s="10" t="str">
        <f t="shared" si="2"/>
        <v>Put Spread</v>
      </c>
      <c r="K90" s="10" t="str">
        <f t="shared" ca="1" si="3"/>
        <v>Success</v>
      </c>
    </row>
    <row r="91" spans="1:11" ht="16">
      <c r="A91" s="1" t="s">
        <v>110</v>
      </c>
      <c r="B91" s="7" t="s">
        <v>38</v>
      </c>
      <c r="C91" s="8">
        <v>80.790000000000006</v>
      </c>
      <c r="D91" s="8" t="s">
        <v>39</v>
      </c>
      <c r="E91" s="8">
        <v>90.93</v>
      </c>
      <c r="F91" s="8">
        <f ca="1">IFERROR(__xludf.DUMMYFUNCTION("INDEX(GOOGLEFINANCE(A91, ""open"", DATE(2025,2,3), DATE(2025,2,3)), 2, 2)"),83.4)</f>
        <v>83.4</v>
      </c>
      <c r="G91" s="8">
        <f ca="1">IFERROR(__xludf.DUMMYFUNCTION("INDEX(GOOGLEFINANCE(A91, ""close"", DATE(2025,2,7), DATE(2025,2,7)), 2, 2)"),84.89)</f>
        <v>84.89</v>
      </c>
      <c r="H91" s="9">
        <f t="shared" ca="1" si="0"/>
        <v>-1.7865707434052696</v>
      </c>
      <c r="I91" s="10">
        <f t="shared" ca="1" si="1"/>
        <v>-17.865707434052695</v>
      </c>
      <c r="J91" s="10" t="str">
        <f t="shared" si="2"/>
        <v>Call Spread</v>
      </c>
      <c r="K91" s="10" t="str">
        <f t="shared" ca="1" si="3"/>
        <v>Success</v>
      </c>
    </row>
    <row r="92" spans="1:11" ht="16">
      <c r="A92" s="1" t="s">
        <v>111</v>
      </c>
      <c r="B92" s="7" t="s">
        <v>14</v>
      </c>
      <c r="C92" s="8">
        <v>8.3800000000000008</v>
      </c>
      <c r="D92" s="8" t="s">
        <v>15</v>
      </c>
      <c r="E92" s="8">
        <v>7.42</v>
      </c>
      <c r="F92" s="8">
        <f ca="1">IFERROR(__xludf.DUMMYFUNCTION("INDEX(GOOGLEFINANCE(A92, ""open"", DATE(2025,2,3), DATE(2025,2,3)), 2, 2)"),7.72)</f>
        <v>7.72</v>
      </c>
      <c r="G92" s="8">
        <f ca="1">IFERROR(__xludf.DUMMYFUNCTION("INDEX(GOOGLEFINANCE(A92, ""close"", DATE(2025,2,7), DATE(2025,2,7)), 2, 2)"),8.72)</f>
        <v>8.7200000000000006</v>
      </c>
      <c r="H92" s="9">
        <f t="shared" ca="1" si="0"/>
        <v>12.953367875647681</v>
      </c>
      <c r="I92" s="10">
        <f t="shared" ca="1" si="1"/>
        <v>129.5336787564768</v>
      </c>
      <c r="J92" s="10" t="str">
        <f t="shared" si="2"/>
        <v>Put Spread</v>
      </c>
      <c r="K92" s="10" t="str">
        <f t="shared" ca="1" si="3"/>
        <v>Success</v>
      </c>
    </row>
    <row r="93" spans="1:11" ht="16">
      <c r="A93" s="1" t="s">
        <v>112</v>
      </c>
      <c r="B93" s="7" t="s">
        <v>14</v>
      </c>
      <c r="C93" s="8">
        <v>26.67</v>
      </c>
      <c r="D93" s="8" t="s">
        <v>15</v>
      </c>
      <c r="E93" s="8">
        <v>20.49</v>
      </c>
      <c r="F93" s="8">
        <f ca="1">IFERROR(__xludf.DUMMYFUNCTION("INDEX(GOOGLEFINANCE(A93, ""open"", DATE(2025,2,3), DATE(2025,2,3)), 2, 2)"),22)</f>
        <v>22</v>
      </c>
      <c r="G93" s="8">
        <f ca="1">IFERROR(__xludf.DUMMYFUNCTION("INDEX(GOOGLEFINANCE(A93, ""close"", DATE(2025,2,7), DATE(2025,2,7)), 2, 2)"),24.78)</f>
        <v>24.78</v>
      </c>
      <c r="H93" s="9">
        <f t="shared" ca="1" si="0"/>
        <v>12.636363636363642</v>
      </c>
      <c r="I93" s="10">
        <f t="shared" ca="1" si="1"/>
        <v>126.36363636363642</v>
      </c>
      <c r="J93" s="10" t="str">
        <f t="shared" si="2"/>
        <v>Put Spread</v>
      </c>
      <c r="K93" s="10" t="str">
        <f t="shared" ca="1" si="3"/>
        <v>Success</v>
      </c>
    </row>
    <row r="94" spans="1:11" ht="16">
      <c r="A94" s="1" t="s">
        <v>113</v>
      </c>
      <c r="B94" s="7" t="s">
        <v>14</v>
      </c>
      <c r="C94" s="8">
        <v>18.899999999999999</v>
      </c>
      <c r="D94" s="8" t="s">
        <v>15</v>
      </c>
      <c r="E94" s="8">
        <v>15.96</v>
      </c>
      <c r="F94" s="8">
        <f ca="1">IFERROR(__xludf.DUMMYFUNCTION("INDEX(GOOGLEFINANCE(A94, ""open"", DATE(2025,2,3), DATE(2025,2,3)), 2, 2)"),17.08)</f>
        <v>17.079999999999998</v>
      </c>
      <c r="G94" s="8">
        <f ca="1">IFERROR(__xludf.DUMMYFUNCTION("INDEX(GOOGLEFINANCE(A94, ""close"", DATE(2025,2,7), DATE(2025,2,7)), 2, 2)"),17.92)</f>
        <v>17.920000000000002</v>
      </c>
      <c r="H94" s="9">
        <f t="shared" ca="1" si="0"/>
        <v>4.9180327868852665</v>
      </c>
      <c r="I94" s="10">
        <f t="shared" ca="1" si="1"/>
        <v>49.180327868852665</v>
      </c>
      <c r="J94" s="10" t="str">
        <f t="shared" si="2"/>
        <v>Put Spread</v>
      </c>
      <c r="K94" s="10" t="str">
        <f t="shared" ca="1" si="3"/>
        <v>Success</v>
      </c>
    </row>
    <row r="95" spans="1:11" ht="16">
      <c r="A95" s="1" t="s">
        <v>114</v>
      </c>
      <c r="B95" s="7" t="s">
        <v>38</v>
      </c>
      <c r="C95" s="8">
        <v>6.83</v>
      </c>
      <c r="D95" s="8" t="s">
        <v>39</v>
      </c>
      <c r="E95" s="8">
        <v>8.0299999999999994</v>
      </c>
      <c r="F95" s="8">
        <f ca="1">IFERROR(__xludf.DUMMYFUNCTION("INDEX(GOOGLEFINANCE(A95, ""open"", DATE(2025,2,3), DATE(2025,2,3)), 2, 2)"),7.24)</f>
        <v>7.24</v>
      </c>
      <c r="G95" s="8">
        <f ca="1">IFERROR(__xludf.DUMMYFUNCTION("INDEX(GOOGLEFINANCE(A95, ""close"", DATE(2025,2,7), DATE(2025,2,7)), 2, 2)"),6.45)</f>
        <v>6.45</v>
      </c>
      <c r="H95" s="9">
        <f t="shared" ca="1" si="0"/>
        <v>10.911602209944752</v>
      </c>
      <c r="I95" s="10">
        <f t="shared" ca="1" si="1"/>
        <v>109.11602209944751</v>
      </c>
      <c r="J95" s="10" t="str">
        <f t="shared" si="2"/>
        <v>Call Spread</v>
      </c>
      <c r="K95" s="10" t="str">
        <f t="shared" ca="1" si="3"/>
        <v>Success</v>
      </c>
    </row>
    <row r="96" spans="1:11" ht="16">
      <c r="A96" s="1" t="s">
        <v>115</v>
      </c>
      <c r="B96" s="7" t="s">
        <v>14</v>
      </c>
      <c r="C96" s="8">
        <v>96.87</v>
      </c>
      <c r="D96" s="8" t="s">
        <v>15</v>
      </c>
      <c r="E96" s="8">
        <v>84.33</v>
      </c>
      <c r="F96" s="8">
        <f ca="1">IFERROR(__xludf.DUMMYFUNCTION("INDEX(GOOGLEFINANCE(A96, ""open"", DATE(2025,2,3), DATE(2025,2,3)), 2, 2)"),86.83)</f>
        <v>86.83</v>
      </c>
      <c r="G96" s="8">
        <f ca="1">IFERROR(__xludf.DUMMYFUNCTION("INDEX(GOOGLEFINANCE(A96, ""close"", DATE(2025,2,7), DATE(2025,2,7)), 2, 2)"),89.32)</f>
        <v>89.32</v>
      </c>
      <c r="H96" s="9">
        <f t="shared" ca="1" si="0"/>
        <v>2.8676724634342912</v>
      </c>
      <c r="I96" s="10">
        <f t="shared" ca="1" si="1"/>
        <v>28.676724634342914</v>
      </c>
      <c r="J96" s="10" t="str">
        <f t="shared" si="2"/>
        <v>Put Spread</v>
      </c>
      <c r="K96" s="10" t="str">
        <f t="shared" ca="1" si="3"/>
        <v>Success</v>
      </c>
    </row>
    <row r="97" spans="1:11" ht="16">
      <c r="A97" s="1" t="s">
        <v>116</v>
      </c>
      <c r="B97" s="7" t="s">
        <v>38</v>
      </c>
      <c r="C97" s="8">
        <v>136.13999999999999</v>
      </c>
      <c r="D97" s="8" t="s">
        <v>39</v>
      </c>
      <c r="E97" s="8">
        <v>151.72</v>
      </c>
      <c r="F97" s="8">
        <f ca="1">IFERROR(__xludf.DUMMYFUNCTION("INDEX(GOOGLEFINANCE(A97, ""open"", DATE(2025,2,3), DATE(2025,2,3)), 2, 2)"),142.81)</f>
        <v>142.81</v>
      </c>
      <c r="G97" s="8">
        <f ca="1">IFERROR(__xludf.DUMMYFUNCTION("INDEX(GOOGLEFINANCE(A97, ""close"", DATE(2025,2,7), DATE(2025,2,7)), 2, 2)"),141.35)</f>
        <v>141.35</v>
      </c>
      <c r="H97" s="9">
        <f t="shared" ca="1" si="0"/>
        <v>1.0223373713325454</v>
      </c>
      <c r="I97" s="10">
        <f t="shared" ca="1" si="1"/>
        <v>10.223373713325454</v>
      </c>
      <c r="J97" s="10" t="str">
        <f t="shared" si="2"/>
        <v>Call Spread</v>
      </c>
      <c r="K97" s="10" t="str">
        <f t="shared" ca="1" si="3"/>
        <v>Success</v>
      </c>
    </row>
    <row r="98" spans="1:11" ht="16">
      <c r="A98" s="1" t="s">
        <v>117</v>
      </c>
      <c r="B98" s="7" t="s">
        <v>14</v>
      </c>
      <c r="C98" s="8">
        <v>91.99</v>
      </c>
      <c r="D98" s="8" t="s">
        <v>15</v>
      </c>
      <c r="E98" s="8">
        <v>91.51</v>
      </c>
      <c r="F98" s="8">
        <f ca="1">IFERROR(__xludf.DUMMYFUNCTION("INDEX(GOOGLEFINANCE(A98, ""open"", DATE(2025,2,3), DATE(2025,2,3)), 2, 2)"),91.45)</f>
        <v>91.45</v>
      </c>
      <c r="G98" s="8">
        <f ca="1">IFERROR(__xludf.DUMMYFUNCTION("INDEX(GOOGLEFINANCE(A98, ""close"", DATE(2025,2,7), DATE(2025,2,7)), 2, 2)"),91.5)</f>
        <v>91.5</v>
      </c>
      <c r="H98" s="9">
        <f t="shared" ca="1" si="0"/>
        <v>5.4674685620554567E-2</v>
      </c>
      <c r="I98" s="10">
        <f t="shared" ca="1" si="1"/>
        <v>0.54674685620554575</v>
      </c>
      <c r="J98" s="10" t="str">
        <f t="shared" si="2"/>
        <v>Put Spread</v>
      </c>
      <c r="K98" s="10" t="str">
        <f t="shared" ca="1" si="3"/>
        <v>No</v>
      </c>
    </row>
    <row r="99" spans="1:11" ht="16">
      <c r="A99" s="1" t="s">
        <v>118</v>
      </c>
      <c r="B99" s="7" t="s">
        <v>14</v>
      </c>
      <c r="C99" s="8">
        <v>18.170000000000002</v>
      </c>
      <c r="D99" s="8" t="s">
        <v>15</v>
      </c>
      <c r="E99" s="8">
        <v>15.27</v>
      </c>
      <c r="F99" s="8">
        <f ca="1">IFERROR(__xludf.DUMMYFUNCTION("INDEX(GOOGLEFINANCE(A99, ""open"", DATE(2025,2,3), DATE(2025,2,3)), 2, 2)"),16.16)</f>
        <v>16.16</v>
      </c>
      <c r="G99" s="8">
        <f ca="1">IFERROR(__xludf.DUMMYFUNCTION("INDEX(GOOGLEFINANCE(A99, ""close"", DATE(2025,2,7), DATE(2025,2,7)), 2, 2)"),18.51)</f>
        <v>18.510000000000002</v>
      </c>
      <c r="H99" s="9">
        <f t="shared" ca="1" si="0"/>
        <v>14.5420792079208</v>
      </c>
      <c r="I99" s="10">
        <f t="shared" ca="1" si="1"/>
        <v>145.42079207920801</v>
      </c>
      <c r="J99" s="10" t="str">
        <f t="shared" si="2"/>
        <v>Put Spread</v>
      </c>
      <c r="K99" s="10" t="str">
        <f t="shared" ca="1" si="3"/>
        <v>Success</v>
      </c>
    </row>
    <row r="100" spans="1:11" ht="16">
      <c r="A100" s="1" t="s">
        <v>119</v>
      </c>
      <c r="B100" s="7" t="s">
        <v>14</v>
      </c>
      <c r="C100" s="8">
        <v>105.97</v>
      </c>
      <c r="D100" s="8" t="s">
        <v>15</v>
      </c>
      <c r="E100" s="8">
        <v>87.57</v>
      </c>
      <c r="F100" s="8">
        <f ca="1">IFERROR(__xludf.DUMMYFUNCTION("INDEX(GOOGLEFINANCE(A100, ""open"", DATE(2025,2,3), DATE(2025,2,3)), 2, 2)"),93.89)</f>
        <v>93.89</v>
      </c>
      <c r="G100" s="8">
        <f ca="1">IFERROR(__xludf.DUMMYFUNCTION("INDEX(GOOGLEFINANCE(A100, ""close"", DATE(2025,2,7), DATE(2025,2,7)), 2, 2)"),62.13)</f>
        <v>62.13</v>
      </c>
      <c r="H100" s="9">
        <f t="shared" ca="1" si="0"/>
        <v>-33.826818617531153</v>
      </c>
      <c r="I100" s="10">
        <f t="shared" ca="1" si="1"/>
        <v>-338.26818617531148</v>
      </c>
      <c r="J100" s="10" t="str">
        <f t="shared" si="2"/>
        <v>Put Spread</v>
      </c>
      <c r="K100" s="10" t="str">
        <f t="shared" ca="1" si="3"/>
        <v>No</v>
      </c>
    </row>
    <row r="101" spans="1:11" ht="16">
      <c r="A101" s="1" t="s">
        <v>120</v>
      </c>
      <c r="B101" s="7" t="s">
        <v>14</v>
      </c>
      <c r="C101" s="8">
        <v>1.69</v>
      </c>
      <c r="D101" s="8" t="s">
        <v>15</v>
      </c>
      <c r="E101" s="8">
        <v>1.21</v>
      </c>
      <c r="F101" s="8">
        <f ca="1">IFERROR(__xludf.DUMMYFUNCTION("INDEX(GOOGLEFINANCE(A101, ""open"", DATE(2025,2,3), DATE(2025,2,3)), 2, 2)"),1.32)</f>
        <v>1.32</v>
      </c>
      <c r="G101" s="8">
        <f ca="1">IFERROR(__xludf.DUMMYFUNCTION("INDEX(GOOGLEFINANCE(A101, ""close"", DATE(2025,2,7), DATE(2025,2,7)), 2, 2)"),1.42)</f>
        <v>1.42</v>
      </c>
      <c r="H101" s="9">
        <f t="shared" ca="1" si="0"/>
        <v>7.5757575757575646</v>
      </c>
      <c r="I101" s="10">
        <f t="shared" ca="1" si="1"/>
        <v>75.757575757575637</v>
      </c>
      <c r="J101" s="10" t="str">
        <f t="shared" si="2"/>
        <v>Put Spread</v>
      </c>
      <c r="K101" s="10" t="str">
        <f t="shared" ca="1" si="3"/>
        <v>Success</v>
      </c>
    </row>
    <row r="102" spans="1:11" ht="16">
      <c r="A102" s="1" t="s">
        <v>121</v>
      </c>
      <c r="B102" s="7" t="s">
        <v>14</v>
      </c>
      <c r="C102" s="8">
        <v>23.73</v>
      </c>
      <c r="D102" s="8" t="s">
        <v>15</v>
      </c>
      <c r="E102" s="8">
        <v>20.170000000000002</v>
      </c>
      <c r="F102" s="8">
        <f ca="1">IFERROR(__xludf.DUMMYFUNCTION("INDEX(GOOGLEFINANCE(A102, ""open"", DATE(2025,2,3), DATE(2025,2,3)), 2, 2)"),23.37)</f>
        <v>23.37</v>
      </c>
      <c r="G102" s="8">
        <f ca="1">IFERROR(__xludf.DUMMYFUNCTION("INDEX(GOOGLEFINANCE(A102, ""close"", DATE(2025,2,7), DATE(2025,2,7)), 2, 2)"),23.28)</f>
        <v>23.28</v>
      </c>
      <c r="H102" s="9">
        <f t="shared" ca="1" si="0"/>
        <v>-0.3851091142490366</v>
      </c>
      <c r="I102" s="10">
        <f t="shared" ca="1" si="1"/>
        <v>-3.8510911424903664</v>
      </c>
      <c r="J102" s="10" t="str">
        <f t="shared" si="2"/>
        <v>Put Spread</v>
      </c>
      <c r="K102" s="10" t="str">
        <f t="shared" ca="1" si="3"/>
        <v>Success</v>
      </c>
    </row>
    <row r="103" spans="1:11" ht="16">
      <c r="A103" s="1" t="s">
        <v>122</v>
      </c>
      <c r="B103" s="7" t="s">
        <v>14</v>
      </c>
      <c r="C103" s="8">
        <v>25.94</v>
      </c>
      <c r="D103" s="8" t="s">
        <v>15</v>
      </c>
      <c r="E103" s="8">
        <v>23.24</v>
      </c>
      <c r="F103" s="8">
        <f ca="1">IFERROR(__xludf.DUMMYFUNCTION("INDEX(GOOGLEFINANCE(A103, ""open"", DATE(2025,2,3), DATE(2025,2,3)), 2, 2)"),22.08)</f>
        <v>22.08</v>
      </c>
      <c r="G103" s="8">
        <f ca="1">IFERROR(__xludf.DUMMYFUNCTION("INDEX(GOOGLEFINANCE(A103, ""close"", DATE(2025,2,7), DATE(2025,2,7)), 2, 2)"),22.28)</f>
        <v>22.28</v>
      </c>
      <c r="H103" s="9">
        <f t="shared" ca="1" si="0"/>
        <v>0.90579710144928827</v>
      </c>
      <c r="I103" s="10">
        <f t="shared" ca="1" si="1"/>
        <v>9.0579710144928818</v>
      </c>
      <c r="J103" s="10" t="str">
        <f t="shared" si="2"/>
        <v>Put Spread</v>
      </c>
      <c r="K103" s="10" t="str">
        <f t="shared" ca="1" si="3"/>
        <v>No</v>
      </c>
    </row>
    <row r="104" spans="1:11" ht="16">
      <c r="A104" s="1" t="s">
        <v>123</v>
      </c>
      <c r="B104" s="7" t="s">
        <v>14</v>
      </c>
      <c r="C104" s="8">
        <v>65.319999999999993</v>
      </c>
      <c r="D104" s="8" t="s">
        <v>15</v>
      </c>
      <c r="E104" s="8">
        <v>48.1</v>
      </c>
      <c r="F104" s="8">
        <f ca="1">IFERROR(__xludf.DUMMYFUNCTION("INDEX(GOOGLEFINANCE(A104, ""open"", DATE(2025,2,3), DATE(2025,2,3)), 2, 2)"),48.05)</f>
        <v>48.05</v>
      </c>
      <c r="G104" s="8">
        <f ca="1">IFERROR(__xludf.DUMMYFUNCTION("INDEX(GOOGLEFINANCE(A104, ""close"", DATE(2025,2,7), DATE(2025,2,7)), 2, 2)"),49.08)</f>
        <v>49.08</v>
      </c>
      <c r="H104" s="9">
        <f t="shared" ca="1" si="0"/>
        <v>2.1436004162330931</v>
      </c>
      <c r="I104" s="10">
        <f t="shared" ca="1" si="1"/>
        <v>21.436004162330931</v>
      </c>
      <c r="J104" s="10" t="str">
        <f t="shared" si="2"/>
        <v>Put Spread</v>
      </c>
      <c r="K104" s="10" t="str">
        <f t="shared" ca="1" si="3"/>
        <v>Success</v>
      </c>
    </row>
    <row r="105" spans="1:11" ht="16">
      <c r="A105" s="1" t="s">
        <v>124</v>
      </c>
      <c r="B105" s="7" t="s">
        <v>14</v>
      </c>
      <c r="C105" s="8">
        <v>68.41</v>
      </c>
      <c r="D105" s="8" t="s">
        <v>15</v>
      </c>
      <c r="E105" s="8">
        <v>49.37</v>
      </c>
      <c r="F105" s="8">
        <f ca="1">IFERROR(__xludf.DUMMYFUNCTION("INDEX(GOOGLEFINANCE(A105, ""open"", DATE(2025,2,3), DATE(2025,2,3)), 2, 2)"),51.04)</f>
        <v>51.04</v>
      </c>
      <c r="G105" s="8">
        <f ca="1">IFERROR(__xludf.DUMMYFUNCTION("INDEX(GOOGLEFINANCE(A105, ""close"", DATE(2025,2,7), DATE(2025,2,7)), 2, 2)"),52.08)</f>
        <v>52.08</v>
      </c>
      <c r="H105" s="9">
        <f t="shared" ca="1" si="0"/>
        <v>2.0376175548589326</v>
      </c>
      <c r="I105" s="10">
        <f t="shared" ca="1" si="1"/>
        <v>20.376175548589327</v>
      </c>
      <c r="J105" s="10" t="str">
        <f t="shared" si="2"/>
        <v>Put Spread</v>
      </c>
      <c r="K105" s="10" t="str">
        <f t="shared" ca="1" si="3"/>
        <v>Success</v>
      </c>
    </row>
    <row r="106" spans="1:11" ht="16">
      <c r="A106" s="1" t="s">
        <v>125</v>
      </c>
      <c r="B106" s="7" t="s">
        <v>14</v>
      </c>
      <c r="C106" s="8">
        <v>88.41</v>
      </c>
      <c r="D106" s="8" t="s">
        <v>15</v>
      </c>
      <c r="E106" s="8">
        <v>83.45</v>
      </c>
      <c r="F106" s="8">
        <f ca="1">IFERROR(__xludf.DUMMYFUNCTION("INDEX(GOOGLEFINANCE(A106, ""open"", DATE(2025,2,3), DATE(2025,2,3)), 2, 2)"),84.61)</f>
        <v>84.61</v>
      </c>
      <c r="G106" s="8">
        <f ca="1">IFERROR(__xludf.DUMMYFUNCTION("INDEX(GOOGLEFINANCE(A106, ""close"", DATE(2025,2,7), DATE(2025,2,7)), 2, 2)"),86.15)</f>
        <v>86.15</v>
      </c>
      <c r="H106" s="9">
        <f t="shared" ca="1" si="0"/>
        <v>1.8201158255525425</v>
      </c>
      <c r="I106" s="10">
        <f t="shared" ca="1" si="1"/>
        <v>18.201158255525424</v>
      </c>
      <c r="J106" s="10" t="str">
        <f t="shared" si="2"/>
        <v>Put Spread</v>
      </c>
      <c r="K106" s="10" t="str">
        <f t="shared" ca="1" si="3"/>
        <v>Success</v>
      </c>
    </row>
    <row r="107" spans="1:11" ht="16">
      <c r="A107" s="1" t="s">
        <v>126</v>
      </c>
      <c r="B107" s="7" t="s">
        <v>14</v>
      </c>
      <c r="C107" s="8">
        <v>4951.3900000000003</v>
      </c>
      <c r="D107" s="8" t="s">
        <v>15</v>
      </c>
      <c r="E107" s="8">
        <v>4523.7299999999996</v>
      </c>
      <c r="F107" s="8">
        <f ca="1">IFERROR(__xludf.DUMMYFUNCTION("INDEX(GOOGLEFINANCE(A107, ""open"", DATE(2025,2,3), DATE(2025,2,3)), 2, 2)"),4670.19)</f>
        <v>4670.1899999999996</v>
      </c>
      <c r="G107" s="8">
        <f ca="1">IFERROR(__xludf.DUMMYFUNCTION("INDEX(GOOGLEFINANCE(A107, ""close"", DATE(2025,2,7), DATE(2025,2,7)), 2, 2)"),4887.47)</f>
        <v>4887.47</v>
      </c>
      <c r="H107" s="9">
        <f t="shared" ca="1" si="0"/>
        <v>4.6524873720341287</v>
      </c>
      <c r="I107" s="10">
        <f t="shared" ca="1" si="1"/>
        <v>46.524873720341283</v>
      </c>
      <c r="J107" s="10" t="str">
        <f t="shared" si="2"/>
        <v>Put Spread</v>
      </c>
      <c r="K107" s="10" t="str">
        <f t="shared" ca="1" si="3"/>
        <v>Success</v>
      </c>
    </row>
    <row r="108" spans="1:11" ht="16">
      <c r="A108" s="1" t="s">
        <v>127</v>
      </c>
      <c r="B108" s="7" t="s">
        <v>14</v>
      </c>
      <c r="C108" s="8">
        <v>1106.93</v>
      </c>
      <c r="D108" s="8" t="s">
        <v>15</v>
      </c>
      <c r="E108" s="8">
        <v>1044.07</v>
      </c>
      <c r="F108" s="8">
        <f ca="1">IFERROR(__xludf.DUMMYFUNCTION("INDEX(GOOGLEFINANCE(A108, ""open"", DATE(2025,2,3), DATE(2025,2,3)), 2, 2)"),1054.48)</f>
        <v>1054.48</v>
      </c>
      <c r="G108" s="8">
        <f ca="1">IFERROR(__xludf.DUMMYFUNCTION("INDEX(GOOGLEFINANCE(A108, ""close"", DATE(2025,2,7), DATE(2025,2,7)), 2, 2)"),992.04)</f>
        <v>992.04</v>
      </c>
      <c r="H108" s="9">
        <f t="shared" ca="1" si="0"/>
        <v>-5.9214020180562983</v>
      </c>
      <c r="I108" s="10">
        <f t="shared" ca="1" si="1"/>
        <v>-59.214020180562983</v>
      </c>
      <c r="J108" s="10" t="str">
        <f t="shared" si="2"/>
        <v>Put Spread</v>
      </c>
      <c r="K108" s="10" t="str">
        <f t="shared" ca="1" si="3"/>
        <v>No</v>
      </c>
    </row>
    <row r="109" spans="1:11" ht="16">
      <c r="A109" s="1" t="s">
        <v>128</v>
      </c>
      <c r="B109" s="7" t="s">
        <v>14</v>
      </c>
      <c r="C109" s="8">
        <v>1.46</v>
      </c>
      <c r="D109" s="8" t="s">
        <v>15</v>
      </c>
      <c r="E109" s="8">
        <v>0.98</v>
      </c>
      <c r="F109" s="8">
        <f ca="1">IFERROR(__xludf.DUMMYFUNCTION("INDEX(GOOGLEFINANCE(A109, ""open"", DATE(2025,2,3), DATE(2025,2,3)), 2, 2)"),1.15)</f>
        <v>1.1499999999999999</v>
      </c>
      <c r="G109" s="8">
        <f ca="1">IFERROR(__xludf.DUMMYFUNCTION("INDEX(GOOGLEFINANCE(A109, ""close"", DATE(2025,2,7), DATE(2025,2,7)), 2, 2)"),1.08)</f>
        <v>1.08</v>
      </c>
      <c r="H109" s="9">
        <f t="shared" ca="1" si="0"/>
        <v>-6.0869565217391166</v>
      </c>
      <c r="I109" s="10">
        <f t="shared" ca="1" si="1"/>
        <v>-60.869565217391163</v>
      </c>
      <c r="J109" s="10" t="str">
        <f t="shared" si="2"/>
        <v>Put Spread</v>
      </c>
      <c r="K109" s="10" t="str">
        <f t="shared" ca="1" si="3"/>
        <v>Success</v>
      </c>
    </row>
    <row r="110" spans="1:11" ht="16">
      <c r="A110" s="1" t="s">
        <v>129</v>
      </c>
      <c r="B110" s="7" t="s">
        <v>14</v>
      </c>
      <c r="C110" s="8">
        <v>50.73</v>
      </c>
      <c r="D110" s="8" t="s">
        <v>15</v>
      </c>
      <c r="E110" s="8">
        <v>44.99</v>
      </c>
      <c r="F110" s="8">
        <f ca="1">IFERROR(__xludf.DUMMYFUNCTION("INDEX(GOOGLEFINANCE(A110, ""open"", DATE(2025,2,3), DATE(2025,2,3)), 2, 2)"),45.7)</f>
        <v>45.7</v>
      </c>
      <c r="G110" s="8">
        <f ca="1">IFERROR(__xludf.DUMMYFUNCTION("INDEX(GOOGLEFINANCE(A110, ""close"", DATE(2025,2,7), DATE(2025,2,7)), 2, 2)"),47.91)</f>
        <v>47.91</v>
      </c>
      <c r="H110" s="9">
        <f t="shared" ca="1" si="0"/>
        <v>4.8358862144419996</v>
      </c>
      <c r="I110" s="10">
        <f t="shared" ca="1" si="1"/>
        <v>48.358862144420002</v>
      </c>
      <c r="J110" s="10" t="str">
        <f t="shared" si="2"/>
        <v>Put Spread</v>
      </c>
      <c r="K110" s="10" t="str">
        <f t="shared" ca="1" si="3"/>
        <v>Success</v>
      </c>
    </row>
    <row r="111" spans="1:11" ht="16">
      <c r="A111" s="1" t="s">
        <v>130</v>
      </c>
      <c r="B111" s="7" t="s">
        <v>14</v>
      </c>
      <c r="C111" s="8">
        <v>4.82</v>
      </c>
      <c r="D111" s="8" t="s">
        <v>15</v>
      </c>
      <c r="E111" s="8">
        <v>3.54</v>
      </c>
      <c r="F111" s="8">
        <f ca="1">IFERROR(__xludf.DUMMYFUNCTION("INDEX(GOOGLEFINANCE(A111, ""open"", DATE(2025,2,3), DATE(2025,2,3)), 2, 2)"),4.04)</f>
        <v>4.04</v>
      </c>
      <c r="G111" s="8">
        <f ca="1">IFERROR(__xludf.DUMMYFUNCTION("INDEX(GOOGLEFINANCE(A111, ""close"", DATE(2025,2,7), DATE(2025,2,7)), 2, 2)"),3.75)</f>
        <v>3.75</v>
      </c>
      <c r="H111" s="9">
        <f t="shared" ca="1" si="0"/>
        <v>-7.1782178217821793</v>
      </c>
      <c r="I111" s="10">
        <f t="shared" ca="1" si="1"/>
        <v>-71.782178217821794</v>
      </c>
      <c r="J111" s="10" t="str">
        <f t="shared" si="2"/>
        <v>Put Spread</v>
      </c>
      <c r="K111" s="10" t="str">
        <f t="shared" ca="1" si="3"/>
        <v>Success</v>
      </c>
    </row>
    <row r="112" spans="1:11" ht="16">
      <c r="A112" s="1" t="s">
        <v>131</v>
      </c>
      <c r="B112" s="7" t="s">
        <v>14</v>
      </c>
      <c r="C112" s="8">
        <v>61.01</v>
      </c>
      <c r="D112" s="8" t="s">
        <v>15</v>
      </c>
      <c r="E112" s="8">
        <v>56.89</v>
      </c>
      <c r="F112" s="8">
        <f ca="1">IFERROR(__xludf.DUMMYFUNCTION("INDEX(GOOGLEFINANCE(A112, ""open"", DATE(2025,2,3), DATE(2025,2,3)), 2, 2)"),58.79)</f>
        <v>58.79</v>
      </c>
      <c r="G112" s="8">
        <f ca="1">IFERROR(__xludf.DUMMYFUNCTION("INDEX(GOOGLEFINANCE(A112, ""close"", DATE(2025,2,7), DATE(2025,2,7)), 2, 2)"),56.85)</f>
        <v>56.85</v>
      </c>
      <c r="H112" s="9">
        <f t="shared" ca="1" si="0"/>
        <v>-3.2998809321313112</v>
      </c>
      <c r="I112" s="10">
        <f t="shared" ca="1" si="1"/>
        <v>-32.998809321313111</v>
      </c>
      <c r="J112" s="10" t="str">
        <f t="shared" si="2"/>
        <v>Put Spread</v>
      </c>
      <c r="K112" s="10" t="str">
        <f t="shared" ca="1" si="3"/>
        <v>No</v>
      </c>
    </row>
    <row r="113" spans="1:11" ht="16">
      <c r="A113" s="1" t="s">
        <v>132</v>
      </c>
      <c r="B113" s="7" t="s">
        <v>14</v>
      </c>
      <c r="C113" s="8">
        <v>72.849999999999994</v>
      </c>
      <c r="D113" s="8" t="s">
        <v>15</v>
      </c>
      <c r="E113" s="8">
        <v>71.83</v>
      </c>
      <c r="F113" s="8">
        <f ca="1">IFERROR(__xludf.DUMMYFUNCTION("INDEX(GOOGLEFINANCE(A113, ""open"", DATE(2025,2,3), DATE(2025,2,3)), 2, 2)"),72.23)</f>
        <v>72.23</v>
      </c>
      <c r="G113" s="8">
        <f ca="1">IFERROR(__xludf.DUMMYFUNCTION("INDEX(GOOGLEFINANCE(A113, ""close"", DATE(2025,2,7), DATE(2025,2,7)), 2, 2)"),72.34)</f>
        <v>72.34</v>
      </c>
      <c r="H113" s="9">
        <f t="shared" ca="1" si="0"/>
        <v>0.15229129170704614</v>
      </c>
      <c r="I113" s="10">
        <f t="shared" ca="1" si="1"/>
        <v>1.5229129170704612</v>
      </c>
      <c r="J113" s="10" t="str">
        <f t="shared" si="2"/>
        <v>Put Spread</v>
      </c>
      <c r="K113" s="10" t="str">
        <f t="shared" ca="1" si="3"/>
        <v>Success</v>
      </c>
    </row>
    <row r="114" spans="1:11" ht="16">
      <c r="A114" s="1" t="s">
        <v>133</v>
      </c>
      <c r="B114" s="7" t="s">
        <v>14</v>
      </c>
      <c r="C114" s="8">
        <v>49.96</v>
      </c>
      <c r="D114" s="8" t="s">
        <v>15</v>
      </c>
      <c r="E114" s="8">
        <v>48.38</v>
      </c>
      <c r="F114" s="8">
        <f ca="1">IFERROR(__xludf.DUMMYFUNCTION("INDEX(GOOGLEFINANCE(A114, ""open"", DATE(2025,2,3), DATE(2025,2,3)), 2, 2)"),49.32)</f>
        <v>49.32</v>
      </c>
      <c r="G114" s="8">
        <f ca="1">IFERROR(__xludf.DUMMYFUNCTION("INDEX(GOOGLEFINANCE(A114, ""close"", DATE(2025,2,7), DATE(2025,2,7)), 2, 2)"),49.31)</f>
        <v>49.31</v>
      </c>
      <c r="H114" s="9">
        <f t="shared" ca="1" si="0"/>
        <v>-2.0275750202753469E-2</v>
      </c>
      <c r="I114" s="10">
        <f t="shared" ca="1" si="1"/>
        <v>-0.20275750202753468</v>
      </c>
      <c r="J114" s="10" t="str">
        <f t="shared" si="2"/>
        <v>Put Spread</v>
      </c>
      <c r="K114" s="10" t="str">
        <f t="shared" ca="1" si="3"/>
        <v>Success</v>
      </c>
    </row>
    <row r="115" spans="1:11" ht="16">
      <c r="A115" s="1" t="s">
        <v>134</v>
      </c>
      <c r="B115" s="7" t="s">
        <v>14</v>
      </c>
      <c r="C115" s="8">
        <v>58.16</v>
      </c>
      <c r="D115" s="8" t="s">
        <v>15</v>
      </c>
      <c r="E115" s="8">
        <v>-47.78</v>
      </c>
      <c r="F115" s="8">
        <f ca="1">IFERROR(__xludf.DUMMYFUNCTION("INDEX(GOOGLEFINANCE(A115, ""open"", DATE(2025,2,3), DATE(2025,2,3)), 2, 2)"),5.1)</f>
        <v>5.0999999999999996</v>
      </c>
      <c r="G115" s="8">
        <f ca="1">IFERROR(__xludf.DUMMYFUNCTION("INDEX(GOOGLEFINANCE(A115, ""close"", DATE(2025,2,7), DATE(2025,2,7)), 2, 2)"),5.84)</f>
        <v>5.84</v>
      </c>
      <c r="H115" s="9">
        <f t="shared" ca="1" si="0"/>
        <v>14.509803921568631</v>
      </c>
      <c r="I115" s="10">
        <f t="shared" ca="1" si="1"/>
        <v>145.0980392156863</v>
      </c>
      <c r="J115" s="10" t="str">
        <f t="shared" si="2"/>
        <v>Put Spread</v>
      </c>
      <c r="K115" s="10" t="str">
        <f t="shared" ca="1" si="3"/>
        <v>Success</v>
      </c>
    </row>
    <row r="116" spans="1:11" ht="16">
      <c r="A116" s="1" t="s">
        <v>135</v>
      </c>
      <c r="B116" s="7" t="s">
        <v>14</v>
      </c>
      <c r="C116" s="8">
        <v>130.84</v>
      </c>
      <c r="D116" s="8" t="s">
        <v>15</v>
      </c>
      <c r="E116" s="8">
        <v>116.7</v>
      </c>
      <c r="F116" s="8">
        <f ca="1">IFERROR(__xludf.DUMMYFUNCTION("INDEX(GOOGLEFINANCE(A116, ""open"", DATE(2025,2,3), DATE(2025,2,3)), 2, 2)"),120.44)</f>
        <v>120.44</v>
      </c>
      <c r="G116" s="8">
        <f ca="1">IFERROR(__xludf.DUMMYFUNCTION("INDEX(GOOGLEFINANCE(A116, ""close"", DATE(2025,2,7), DATE(2025,2,7)), 2, 2)"),117.61)</f>
        <v>117.61</v>
      </c>
      <c r="H116" s="9">
        <f t="shared" ca="1" si="0"/>
        <v>-2.3497177017602113</v>
      </c>
      <c r="I116" s="10">
        <f t="shared" ca="1" si="1"/>
        <v>-23.497177017602112</v>
      </c>
      <c r="J116" s="10" t="str">
        <f t="shared" si="2"/>
        <v>Put Spread</v>
      </c>
      <c r="K116" s="10" t="str">
        <f t="shared" ca="1" si="3"/>
        <v>Success</v>
      </c>
    </row>
    <row r="117" spans="1:11" ht="16">
      <c r="A117" s="1" t="s">
        <v>136</v>
      </c>
      <c r="B117" s="7" t="s">
        <v>14</v>
      </c>
      <c r="C117" s="8">
        <v>58.93</v>
      </c>
      <c r="D117" s="8" t="s">
        <v>15</v>
      </c>
      <c r="E117" s="8">
        <v>44.83</v>
      </c>
      <c r="F117" s="8">
        <f ca="1">IFERROR(__xludf.DUMMYFUNCTION("INDEX(GOOGLEFINANCE(A117, ""open"", DATE(2025,2,3), DATE(2025,2,3)), 2, 2)"),60.14)</f>
        <v>60.14</v>
      </c>
      <c r="G117" s="8">
        <f ca="1">IFERROR(__xludf.DUMMYFUNCTION("INDEX(GOOGLEFINANCE(A117, ""close"", DATE(2025,2,7), DATE(2025,2,7)), 2, 2)"),59.84)</f>
        <v>59.84</v>
      </c>
      <c r="H117" s="9">
        <f t="shared" ca="1" si="0"/>
        <v>-0.49883604921848546</v>
      </c>
      <c r="I117" s="10">
        <f t="shared" ca="1" si="1"/>
        <v>-4.9883604921848548</v>
      </c>
      <c r="J117" s="10" t="str">
        <f t="shared" si="2"/>
        <v>Put Spread</v>
      </c>
      <c r="K117" s="10" t="str">
        <f t="shared" ca="1" si="3"/>
        <v>Success</v>
      </c>
    </row>
    <row r="118" spans="1:11" ht="16">
      <c r="A118" s="1" t="s">
        <v>137</v>
      </c>
      <c r="B118" s="7" t="s">
        <v>14</v>
      </c>
      <c r="C118" s="8">
        <v>34.32</v>
      </c>
      <c r="D118" s="8" t="s">
        <v>15</v>
      </c>
      <c r="E118" s="8">
        <v>32.04</v>
      </c>
      <c r="F118" s="8">
        <f ca="1">IFERROR(__xludf.DUMMYFUNCTION("INDEX(GOOGLEFINANCE(A118, ""open"", DATE(2025,2,3), DATE(2025,2,3)), 2, 2)"),32.31)</f>
        <v>32.31</v>
      </c>
      <c r="G118" s="8">
        <f ca="1">IFERROR(__xludf.DUMMYFUNCTION("INDEX(GOOGLEFINANCE(A118, ""close"", DATE(2025,2,7), DATE(2025,2,7)), 2, 2)"),33.56)</f>
        <v>33.56</v>
      </c>
      <c r="H118" s="9">
        <f t="shared" ca="1" si="0"/>
        <v>3.86877127824203</v>
      </c>
      <c r="I118" s="10">
        <f t="shared" ca="1" si="1"/>
        <v>38.687712782420299</v>
      </c>
      <c r="J118" s="10" t="str">
        <f t="shared" si="2"/>
        <v>Put Spread</v>
      </c>
      <c r="K118" s="10" t="str">
        <f t="shared" ca="1" si="3"/>
        <v>Success</v>
      </c>
    </row>
    <row r="119" spans="1:11" ht="16">
      <c r="A119" s="1" t="s">
        <v>138</v>
      </c>
      <c r="B119" s="7" t="s">
        <v>14</v>
      </c>
      <c r="C119" s="8">
        <v>35.07</v>
      </c>
      <c r="D119" s="8" t="s">
        <v>15</v>
      </c>
      <c r="E119" s="8">
        <v>31.71</v>
      </c>
      <c r="F119" s="8">
        <f ca="1">IFERROR(__xludf.DUMMYFUNCTION("INDEX(GOOGLEFINANCE(A119, ""open"", DATE(2025,2,3), DATE(2025,2,3)), 2, 2)"),33.17)</f>
        <v>33.17</v>
      </c>
      <c r="G119" s="8">
        <f ca="1">IFERROR(__xludf.DUMMYFUNCTION("INDEX(GOOGLEFINANCE(A119, ""close"", DATE(2025,2,7), DATE(2025,2,7)), 2, 2)"),34.29)</f>
        <v>34.29</v>
      </c>
      <c r="H119" s="9">
        <f t="shared" ca="1" si="0"/>
        <v>3.3765450708471429</v>
      </c>
      <c r="I119" s="10">
        <f t="shared" ca="1" si="1"/>
        <v>33.765450708471434</v>
      </c>
      <c r="J119" s="10" t="str">
        <f t="shared" si="2"/>
        <v>Put Spread</v>
      </c>
      <c r="K119" s="10" t="str">
        <f t="shared" ca="1" si="3"/>
        <v>Success</v>
      </c>
    </row>
    <row r="120" spans="1:11" ht="16">
      <c r="A120" s="1" t="s">
        <v>139</v>
      </c>
      <c r="B120" s="7" t="s">
        <v>14</v>
      </c>
      <c r="C120" s="8">
        <v>32.6</v>
      </c>
      <c r="D120" s="8" t="s">
        <v>15</v>
      </c>
      <c r="E120" s="8">
        <v>29.52</v>
      </c>
      <c r="F120" s="8">
        <f ca="1">IFERROR(__xludf.DUMMYFUNCTION("INDEX(GOOGLEFINANCE(A120, ""open"", DATE(2025,2,3), DATE(2025,2,3)), 2, 2)"),30.72)</f>
        <v>30.72</v>
      </c>
      <c r="G120" s="8">
        <f ca="1">IFERROR(__xludf.DUMMYFUNCTION("INDEX(GOOGLEFINANCE(A120, ""close"", DATE(2025,2,7), DATE(2025,2,7)), 2, 2)"),32.27)</f>
        <v>32.270000000000003</v>
      </c>
      <c r="H120" s="9">
        <f t="shared" ca="1" si="0"/>
        <v>5.0455729166666812</v>
      </c>
      <c r="I120" s="10">
        <f t="shared" ca="1" si="1"/>
        <v>50.455729166666814</v>
      </c>
      <c r="J120" s="10" t="str">
        <f t="shared" si="2"/>
        <v>Put Spread</v>
      </c>
      <c r="K120" s="10" t="str">
        <f t="shared" ca="1" si="3"/>
        <v>Success</v>
      </c>
    </row>
    <row r="121" spans="1:11" ht="16">
      <c r="A121" s="1" t="s">
        <v>140</v>
      </c>
      <c r="B121" s="7" t="s">
        <v>14</v>
      </c>
      <c r="C121" s="8">
        <v>479.92</v>
      </c>
      <c r="D121" s="8" t="s">
        <v>15</v>
      </c>
      <c r="E121" s="8">
        <v>457.42</v>
      </c>
      <c r="F121" s="8">
        <f ca="1">IFERROR(__xludf.DUMMYFUNCTION("INDEX(GOOGLEFINANCE(A121, ""open"", DATE(2025,2,3), DATE(2025,2,3)), 2, 2)"),461.3)</f>
        <v>461.3</v>
      </c>
      <c r="G121" s="8">
        <f ca="1">IFERROR(__xludf.DUMMYFUNCTION("INDEX(GOOGLEFINANCE(A121, ""close"", DATE(2025,2,7), DATE(2025,2,7)), 2, 2)"),472.74)</f>
        <v>472.74</v>
      </c>
      <c r="H121" s="9">
        <f t="shared" ca="1" si="0"/>
        <v>2.4799479731194443</v>
      </c>
      <c r="I121" s="10">
        <f t="shared" ca="1" si="1"/>
        <v>24.799479731194442</v>
      </c>
      <c r="J121" s="10" t="str">
        <f t="shared" si="2"/>
        <v>Put Spread</v>
      </c>
      <c r="K121" s="10" t="str">
        <f t="shared" ca="1" si="3"/>
        <v>Success</v>
      </c>
    </row>
    <row r="122" spans="1:11" ht="16">
      <c r="A122" s="1" t="s">
        <v>141</v>
      </c>
      <c r="B122" s="7" t="s">
        <v>14</v>
      </c>
      <c r="C122" s="8">
        <v>108.04</v>
      </c>
      <c r="D122" s="8" t="s">
        <v>15</v>
      </c>
      <c r="E122" s="8">
        <v>101.28</v>
      </c>
      <c r="F122" s="8">
        <f ca="1">IFERROR(__xludf.DUMMYFUNCTION("INDEX(GOOGLEFINANCE(A122, ""open"", DATE(2025,2,3), DATE(2025,2,3)), 2, 2)"),103.94)</f>
        <v>103.94</v>
      </c>
      <c r="G122" s="8">
        <f ca="1">IFERROR(__xludf.DUMMYFUNCTION("INDEX(GOOGLEFINANCE(A122, ""close"", DATE(2025,2,7), DATE(2025,2,7)), 2, 2)"),108.58)</f>
        <v>108.58</v>
      </c>
      <c r="H122" s="9">
        <f t="shared" ca="1" si="0"/>
        <v>4.4641139118722348</v>
      </c>
      <c r="I122" s="10">
        <f t="shared" ca="1" si="1"/>
        <v>44.64113911872235</v>
      </c>
      <c r="J122" s="10" t="str">
        <f t="shared" si="2"/>
        <v>Put Spread</v>
      </c>
      <c r="K122" s="10" t="str">
        <f t="shared" ca="1" si="3"/>
        <v>Success</v>
      </c>
    </row>
    <row r="123" spans="1:11" ht="16">
      <c r="A123" s="1" t="s">
        <v>142</v>
      </c>
      <c r="B123" s="7" t="s">
        <v>14</v>
      </c>
      <c r="C123" s="8">
        <v>105.57</v>
      </c>
      <c r="D123" s="8" t="s">
        <v>15</v>
      </c>
      <c r="E123" s="8">
        <v>99.15</v>
      </c>
      <c r="F123" s="8">
        <f ca="1">IFERROR(__xludf.DUMMYFUNCTION("INDEX(GOOGLEFINANCE(A123, ""open"", DATE(2025,2,3), DATE(2025,2,3)), 2, 2)"),101.41)</f>
        <v>101.41</v>
      </c>
      <c r="G123" s="8">
        <f ca="1">IFERROR(__xludf.DUMMYFUNCTION("INDEX(GOOGLEFINANCE(A123, ""close"", DATE(2025,2,7), DATE(2025,2,7)), 2, 2)"),105.25)</f>
        <v>105.25</v>
      </c>
      <c r="H123" s="9">
        <f t="shared" ca="1" si="0"/>
        <v>3.7866088156986528</v>
      </c>
      <c r="I123" s="10">
        <f t="shared" ca="1" si="1"/>
        <v>37.866088156986528</v>
      </c>
      <c r="J123" s="10" t="str">
        <f t="shared" si="2"/>
        <v>Put Spread</v>
      </c>
      <c r="K123" s="10" t="str">
        <f t="shared" ca="1" si="3"/>
        <v>Success</v>
      </c>
    </row>
    <row r="124" spans="1:11" ht="16">
      <c r="A124" s="1" t="s">
        <v>143</v>
      </c>
      <c r="B124" s="7" t="s">
        <v>14</v>
      </c>
      <c r="C124" s="8">
        <v>3.65</v>
      </c>
      <c r="D124" s="8" t="s">
        <v>15</v>
      </c>
      <c r="E124" s="8">
        <v>2.65</v>
      </c>
      <c r="F124" s="8">
        <f ca="1">IFERROR(__xludf.DUMMYFUNCTION("INDEX(GOOGLEFINANCE(A124, ""open"", DATE(2025,2,3), DATE(2025,2,3)), 2, 2)"),2.88)</f>
        <v>2.88</v>
      </c>
      <c r="G124" s="8">
        <f ca="1">IFERROR(__xludf.DUMMYFUNCTION("INDEX(GOOGLEFINANCE(A124, ""close"", DATE(2025,2,7), DATE(2025,2,7)), 2, 2)"),3.09)</f>
        <v>3.09</v>
      </c>
      <c r="H124" s="9">
        <f t="shared" ca="1" si="0"/>
        <v>7.2916666666666661</v>
      </c>
      <c r="I124" s="10">
        <f t="shared" ca="1" si="1"/>
        <v>72.916666666666657</v>
      </c>
      <c r="J124" s="10" t="str">
        <f t="shared" si="2"/>
        <v>Put Spread</v>
      </c>
      <c r="K124" s="10" t="str">
        <f t="shared" ca="1" si="3"/>
        <v>Success</v>
      </c>
    </row>
    <row r="125" spans="1:11" ht="16">
      <c r="A125" s="1" t="s">
        <v>144</v>
      </c>
      <c r="B125" s="7" t="s">
        <v>14</v>
      </c>
      <c r="C125" s="8">
        <v>40.770000000000003</v>
      </c>
      <c r="D125" s="8" t="s">
        <v>15</v>
      </c>
      <c r="E125" s="8">
        <v>38.51</v>
      </c>
      <c r="F125" s="8">
        <f ca="1">IFERROR(__xludf.DUMMYFUNCTION("INDEX(GOOGLEFINANCE(A125, ""open"", DATE(2025,2,3), DATE(2025,2,3)), 2, 2)"),39.42)</f>
        <v>39.42</v>
      </c>
      <c r="G125" s="8">
        <f ca="1">IFERROR(__xludf.DUMMYFUNCTION("INDEX(GOOGLEFINANCE(A125, ""close"", DATE(2025,2,7), DATE(2025,2,7)), 2, 2)"),41.76)</f>
        <v>41.76</v>
      </c>
      <c r="H125" s="9">
        <f t="shared" ca="1" si="0"/>
        <v>5.9360730593607212</v>
      </c>
      <c r="I125" s="10">
        <f t="shared" ca="1" si="1"/>
        <v>59.360730593607215</v>
      </c>
      <c r="J125" s="10" t="str">
        <f t="shared" si="2"/>
        <v>Put Spread</v>
      </c>
      <c r="K125" s="10" t="str">
        <f t="shared" ca="1" si="3"/>
        <v>Success</v>
      </c>
    </row>
    <row r="126" spans="1:11" ht="16">
      <c r="A126" s="1" t="s">
        <v>145</v>
      </c>
      <c r="B126" s="7" t="s">
        <v>14</v>
      </c>
      <c r="C126" s="8">
        <v>19.329999999999998</v>
      </c>
      <c r="D126" s="8" t="s">
        <v>15</v>
      </c>
      <c r="E126" s="8">
        <v>16.97</v>
      </c>
      <c r="F126" s="8">
        <f ca="1">IFERROR(__xludf.DUMMYFUNCTION("INDEX(GOOGLEFINANCE(A126, ""open"", DATE(2025,2,3), DATE(2025,2,3)), 2, 2)"),17.94)</f>
        <v>17.940000000000001</v>
      </c>
      <c r="G126" s="8">
        <f ca="1">IFERROR(__xludf.DUMMYFUNCTION("INDEX(GOOGLEFINANCE(A126, ""close"", DATE(2025,2,7), DATE(2025,2,7)), 2, 2)"),15.93)</f>
        <v>15.93</v>
      </c>
      <c r="H126" s="9">
        <f t="shared" ca="1" si="0"/>
        <v>-11.204013377926429</v>
      </c>
      <c r="I126" s="10">
        <f t="shared" ca="1" si="1"/>
        <v>-112.04013377926429</v>
      </c>
      <c r="J126" s="10" t="str">
        <f t="shared" si="2"/>
        <v>Put Spread</v>
      </c>
      <c r="K126" s="10" t="str">
        <f t="shared" ca="1" si="3"/>
        <v>No</v>
      </c>
    </row>
    <row r="127" spans="1:11" ht="16">
      <c r="A127" s="1" t="s">
        <v>146</v>
      </c>
      <c r="B127" s="7" t="s">
        <v>14</v>
      </c>
      <c r="C127" s="8">
        <v>51.17</v>
      </c>
      <c r="D127" s="8" t="s">
        <v>15</v>
      </c>
      <c r="E127" s="8">
        <v>47.19</v>
      </c>
      <c r="F127" s="8">
        <f ca="1">IFERROR(__xludf.DUMMYFUNCTION("INDEX(GOOGLEFINANCE(A127, ""open"", DATE(2025,2,3), DATE(2025,2,3)), 2, 2)"),48.27)</f>
        <v>48.27</v>
      </c>
      <c r="G127" s="8">
        <f ca="1">IFERROR(__xludf.DUMMYFUNCTION("INDEX(GOOGLEFINANCE(A127, ""close"", DATE(2025,2,7), DATE(2025,2,7)), 2, 2)"),50.3)</f>
        <v>50.3</v>
      </c>
      <c r="H127" s="9">
        <f t="shared" ca="1" si="0"/>
        <v>4.2055106691526696</v>
      </c>
      <c r="I127" s="10">
        <f t="shared" ca="1" si="1"/>
        <v>42.055106691526696</v>
      </c>
      <c r="J127" s="10" t="str">
        <f t="shared" si="2"/>
        <v>Put Spread</v>
      </c>
      <c r="K127" s="10" t="str">
        <f t="shared" ca="1" si="3"/>
        <v>Success</v>
      </c>
    </row>
    <row r="128" spans="1:11" ht="16">
      <c r="A128" s="1" t="s">
        <v>147</v>
      </c>
      <c r="B128" s="7" t="s">
        <v>38</v>
      </c>
      <c r="C128" s="8">
        <v>266.61</v>
      </c>
      <c r="D128" s="8" t="s">
        <v>39</v>
      </c>
      <c r="E128" s="8">
        <v>301.25</v>
      </c>
      <c r="F128" s="8">
        <f ca="1">IFERROR(__xludf.DUMMYFUNCTION("INDEX(GOOGLEFINANCE(A128, ""open"", DATE(2025,2,3), DATE(2025,2,3)), 2, 2)"),277.23)</f>
        <v>277.23</v>
      </c>
      <c r="G128" s="8">
        <f ca="1">IFERROR(__xludf.DUMMYFUNCTION("INDEX(GOOGLEFINANCE(A128, ""close"", DATE(2025,2,7), DATE(2025,2,7)), 2, 2)"),260.03)</f>
        <v>260.02999999999997</v>
      </c>
      <c r="H128" s="9">
        <f t="shared" ca="1" si="0"/>
        <v>6.2042347509288476</v>
      </c>
      <c r="I128" s="10">
        <f t="shared" ca="1" si="1"/>
        <v>62.042347509288476</v>
      </c>
      <c r="J128" s="10" t="str">
        <f t="shared" si="2"/>
        <v>Call Spread</v>
      </c>
      <c r="K128" s="10" t="str">
        <f t="shared" ca="1" si="3"/>
        <v>Success</v>
      </c>
    </row>
    <row r="129" spans="1:11" ht="16">
      <c r="A129" s="1" t="s">
        <v>148</v>
      </c>
      <c r="B129" s="7" t="s">
        <v>14</v>
      </c>
      <c r="C129" s="8">
        <v>1.6</v>
      </c>
      <c r="D129" s="8" t="s">
        <v>15</v>
      </c>
      <c r="E129" s="8">
        <v>1.1200000000000001</v>
      </c>
      <c r="F129" s="8">
        <f ca="1">IFERROR(__xludf.DUMMYFUNCTION("INDEX(GOOGLEFINANCE(A129, ""open"", DATE(2025,2,3), DATE(2025,2,3)), 2, 2)"),1.27)</f>
        <v>1.27</v>
      </c>
      <c r="G129" s="8">
        <f ca="1">IFERROR(__xludf.DUMMYFUNCTION("INDEX(GOOGLEFINANCE(A129, ""close"", DATE(2025,2,7), DATE(2025,2,7)), 2, 2)"),1.4)</f>
        <v>1.4</v>
      </c>
      <c r="H129" s="9">
        <f t="shared" ca="1" si="0"/>
        <v>10.236220472440936</v>
      </c>
      <c r="I129" s="10">
        <f t="shared" ca="1" si="1"/>
        <v>102.36220472440935</v>
      </c>
      <c r="J129" s="10" t="str">
        <f t="shared" si="2"/>
        <v>Put Spread</v>
      </c>
      <c r="K129" s="10" t="str">
        <f t="shared" ca="1" si="3"/>
        <v>Success</v>
      </c>
    </row>
    <row r="130" spans="1:11" ht="16">
      <c r="A130" s="1" t="s">
        <v>149</v>
      </c>
      <c r="B130" s="7" t="s">
        <v>14</v>
      </c>
      <c r="C130" s="8">
        <v>184.08</v>
      </c>
      <c r="D130" s="8" t="s">
        <v>15</v>
      </c>
      <c r="E130" s="8">
        <v>170.14</v>
      </c>
      <c r="F130" s="8">
        <f ca="1">IFERROR(__xludf.DUMMYFUNCTION("INDEX(GOOGLEFINANCE(A130, ""open"", DATE(2025,2,3), DATE(2025,2,3)), 2, 2)"),172.43)</f>
        <v>172.43</v>
      </c>
      <c r="G130" s="8">
        <f ca="1">IFERROR(__xludf.DUMMYFUNCTION("INDEX(GOOGLEFINANCE(A130, ""close"", DATE(2025,2,7), DATE(2025,2,7)), 2, 2)"),170.27)</f>
        <v>170.27</v>
      </c>
      <c r="H130" s="9">
        <f t="shared" ca="1" si="0"/>
        <v>-1.2526822478686983</v>
      </c>
      <c r="I130" s="10">
        <f t="shared" ca="1" si="1"/>
        <v>-12.526822478686984</v>
      </c>
      <c r="J130" s="10" t="str">
        <f t="shared" si="2"/>
        <v>Put Spread</v>
      </c>
      <c r="K130" s="10" t="str">
        <f t="shared" ca="1" si="3"/>
        <v>Success</v>
      </c>
    </row>
    <row r="131" spans="1:11" ht="16">
      <c r="A131" s="1" t="s">
        <v>150</v>
      </c>
      <c r="B131" s="7" t="s">
        <v>38</v>
      </c>
      <c r="C131" s="8">
        <v>17.399999999999999</v>
      </c>
      <c r="D131" s="8" t="s">
        <v>39</v>
      </c>
      <c r="E131" s="8">
        <v>18.600000000000001</v>
      </c>
      <c r="F131" s="8">
        <f ca="1">IFERROR(__xludf.DUMMYFUNCTION("INDEX(GOOGLEFINANCE(A131, ""open"", DATE(2025,2,3), DATE(2025,2,3)), 2, 2)"),17.62)</f>
        <v>17.62</v>
      </c>
      <c r="G131" s="8">
        <f ca="1">IFERROR(__xludf.DUMMYFUNCTION("INDEX(GOOGLEFINANCE(A131, ""close"", DATE(2025,2,7), DATE(2025,2,7)), 2, 2)"),18.71)</f>
        <v>18.71</v>
      </c>
      <c r="H131" s="9">
        <f t="shared" ca="1" si="0"/>
        <v>-6.1861520998864918</v>
      </c>
      <c r="I131" s="10">
        <f t="shared" ca="1" si="1"/>
        <v>-61.861520998864918</v>
      </c>
      <c r="J131" s="10" t="str">
        <f t="shared" si="2"/>
        <v>Call Spread</v>
      </c>
      <c r="K131" s="10" t="str">
        <f t="shared" ca="1" si="3"/>
        <v>No</v>
      </c>
    </row>
    <row r="132" spans="1:11" ht="16">
      <c r="A132" s="1" t="s">
        <v>151</v>
      </c>
      <c r="B132" s="7" t="s">
        <v>14</v>
      </c>
      <c r="C132" s="8">
        <v>79.930000000000007</v>
      </c>
      <c r="D132" s="8" t="s">
        <v>15</v>
      </c>
      <c r="E132" s="8">
        <v>73.37</v>
      </c>
      <c r="F132" s="8">
        <f ca="1">IFERROR(__xludf.DUMMYFUNCTION("INDEX(GOOGLEFINANCE(A132, ""open"", DATE(2025,2,3), DATE(2025,2,3)), 2, 2)"),75.07)</f>
        <v>75.069999999999993</v>
      </c>
      <c r="G132" s="8">
        <f ca="1">IFERROR(__xludf.DUMMYFUNCTION("INDEX(GOOGLEFINANCE(A132, ""close"", DATE(2025,2,7), DATE(2025,2,7)), 2, 2)"),77.22)</f>
        <v>77.22</v>
      </c>
      <c r="H132" s="9">
        <f t="shared" ca="1" si="0"/>
        <v>2.8639936059677713</v>
      </c>
      <c r="I132" s="10">
        <f t="shared" ca="1" si="1"/>
        <v>28.639936059677712</v>
      </c>
      <c r="J132" s="10" t="str">
        <f t="shared" si="2"/>
        <v>Put Spread</v>
      </c>
      <c r="K132" s="10" t="str">
        <f t="shared" ca="1" si="3"/>
        <v>Success</v>
      </c>
    </row>
    <row r="133" spans="1:11" ht="16">
      <c r="A133" s="1" t="s">
        <v>152</v>
      </c>
      <c r="B133" s="7" t="s">
        <v>38</v>
      </c>
      <c r="C133" s="8">
        <v>3.3</v>
      </c>
      <c r="D133" s="8" t="s">
        <v>39</v>
      </c>
      <c r="E133" s="8">
        <v>4.62</v>
      </c>
      <c r="F133" s="8">
        <f ca="1">IFERROR(__xludf.DUMMYFUNCTION("INDEX(GOOGLEFINANCE(A133, ""open"", DATE(2025,2,3), DATE(2025,2,3)), 2, 2)"),3.82)</f>
        <v>3.82</v>
      </c>
      <c r="G133" s="8">
        <f ca="1">IFERROR(__xludf.DUMMYFUNCTION("INDEX(GOOGLEFINANCE(A133, ""close"", DATE(2025,2,7), DATE(2025,2,7)), 2, 2)"),3.92)</f>
        <v>3.92</v>
      </c>
      <c r="H133" s="9">
        <f t="shared" ca="1" si="0"/>
        <v>-2.6178010471204214</v>
      </c>
      <c r="I133" s="10">
        <f t="shared" ca="1" si="1"/>
        <v>-26.178010471204217</v>
      </c>
      <c r="J133" s="10" t="str">
        <f t="shared" si="2"/>
        <v>Call Spread</v>
      </c>
      <c r="K133" s="10" t="str">
        <f t="shared" ca="1" si="3"/>
        <v>Success</v>
      </c>
    </row>
    <row r="134" spans="1:11" ht="16">
      <c r="A134" s="1" t="s">
        <v>153</v>
      </c>
      <c r="B134" s="7" t="s">
        <v>14</v>
      </c>
      <c r="C134" s="8">
        <v>10.130000000000001</v>
      </c>
      <c r="D134" s="8" t="s">
        <v>15</v>
      </c>
      <c r="E134" s="8">
        <v>6.45</v>
      </c>
      <c r="F134" s="8">
        <f ca="1">IFERROR(__xludf.DUMMYFUNCTION("INDEX(GOOGLEFINANCE(A134, ""open"", DATE(2025,2,3), DATE(2025,2,3)), 2, 2)"),8.27)</f>
        <v>8.27</v>
      </c>
      <c r="G134" s="8">
        <f ca="1">IFERROR(__xludf.DUMMYFUNCTION("INDEX(GOOGLEFINANCE(A134, ""close"", DATE(2025,2,7), DATE(2025,2,7)), 2, 2)"),8.77)</f>
        <v>8.77</v>
      </c>
      <c r="H134" s="9">
        <f t="shared" ca="1" si="0"/>
        <v>6.0459492140266029</v>
      </c>
      <c r="I134" s="10">
        <f t="shared" ca="1" si="1"/>
        <v>60.459492140266029</v>
      </c>
      <c r="J134" s="10" t="str">
        <f t="shared" si="2"/>
        <v>Put Spread</v>
      </c>
      <c r="K134" s="10" t="str">
        <f t="shared" ca="1" si="3"/>
        <v>Success</v>
      </c>
    </row>
    <row r="135" spans="1:11" ht="16">
      <c r="A135" s="1" t="s">
        <v>154</v>
      </c>
      <c r="B135" s="7" t="s">
        <v>14</v>
      </c>
      <c r="C135" s="8">
        <v>83.84</v>
      </c>
      <c r="D135" s="8" t="s">
        <v>15</v>
      </c>
      <c r="E135" s="8">
        <v>79.02</v>
      </c>
      <c r="F135" s="8">
        <f ca="1">IFERROR(__xludf.DUMMYFUNCTION("INDEX(GOOGLEFINANCE(A135, ""open"", DATE(2025,2,3), DATE(2025,2,3)), 2, 2)"),78.5)</f>
        <v>78.5</v>
      </c>
      <c r="G135" s="8">
        <f ca="1">IFERROR(__xludf.DUMMYFUNCTION("INDEX(GOOGLEFINANCE(A135, ""close"", DATE(2025,2,7), DATE(2025,2,7)), 2, 2)"),81.72)</f>
        <v>81.72</v>
      </c>
      <c r="H135" s="9">
        <f t="shared" ca="1" si="0"/>
        <v>4.1019108280254759</v>
      </c>
      <c r="I135" s="10">
        <f t="shared" ca="1" si="1"/>
        <v>41.019108280254756</v>
      </c>
      <c r="J135" s="10" t="str">
        <f t="shared" si="2"/>
        <v>Put Spread</v>
      </c>
      <c r="K135" s="10" t="str">
        <f t="shared" ca="1" si="3"/>
        <v>Success</v>
      </c>
    </row>
    <row r="136" spans="1:11" ht="16">
      <c r="A136" s="1" t="s">
        <v>155</v>
      </c>
      <c r="B136" s="7" t="s">
        <v>14</v>
      </c>
      <c r="C136" s="8">
        <v>59.05</v>
      </c>
      <c r="D136" s="8" t="s">
        <v>15</v>
      </c>
      <c r="E136" s="8">
        <v>53.25</v>
      </c>
      <c r="F136" s="8">
        <f ca="1">IFERROR(__xludf.DUMMYFUNCTION("INDEX(GOOGLEFINANCE(A136, ""open"", DATE(2025,2,3), DATE(2025,2,3)), 2, 2)"),54.42)</f>
        <v>54.42</v>
      </c>
      <c r="G136" s="8">
        <f ca="1">IFERROR(__xludf.DUMMYFUNCTION("INDEX(GOOGLEFINANCE(A136, ""close"", DATE(2025,2,7), DATE(2025,2,7)), 2, 2)"),53.31)</f>
        <v>53.31</v>
      </c>
      <c r="H136" s="9">
        <f t="shared" ca="1" si="0"/>
        <v>-2.0396912899669228</v>
      </c>
      <c r="I136" s="10">
        <f t="shared" ca="1" si="1"/>
        <v>-20.396912899669228</v>
      </c>
      <c r="J136" s="10" t="str">
        <f t="shared" si="2"/>
        <v>Put Spread</v>
      </c>
      <c r="K136" s="10" t="str">
        <f t="shared" ca="1" si="3"/>
        <v>Success</v>
      </c>
    </row>
    <row r="137" spans="1:11" ht="16">
      <c r="A137" s="1" t="s">
        <v>156</v>
      </c>
      <c r="B137" s="7" t="s">
        <v>14</v>
      </c>
      <c r="C137" s="8">
        <v>98.86</v>
      </c>
      <c r="D137" s="8" t="s">
        <v>15</v>
      </c>
      <c r="E137" s="8">
        <v>80.540000000000006</v>
      </c>
      <c r="F137" s="8">
        <f ca="1">IFERROR(__xludf.DUMMYFUNCTION("INDEX(GOOGLEFINANCE(A137, ""open"", DATE(2025,2,3), DATE(2025,2,3)), 2, 2)"),86.07)</f>
        <v>86.07</v>
      </c>
      <c r="G137" s="8">
        <f ca="1">IFERROR(__xludf.DUMMYFUNCTION("INDEX(GOOGLEFINANCE(A137, ""close"", DATE(2025,2,7), DATE(2025,2,7)), 2, 2)"),87.01)</f>
        <v>87.01</v>
      </c>
      <c r="H137" s="9">
        <f t="shared" ca="1" si="0"/>
        <v>1.0921343092831557</v>
      </c>
      <c r="I137" s="10">
        <f t="shared" ca="1" si="1"/>
        <v>10.921343092831558</v>
      </c>
      <c r="J137" s="10" t="str">
        <f t="shared" si="2"/>
        <v>Put Spread</v>
      </c>
      <c r="K137" s="10" t="str">
        <f t="shared" ca="1" si="3"/>
        <v>Success</v>
      </c>
    </row>
    <row r="138" spans="1:11" ht="16">
      <c r="A138" s="1" t="s">
        <v>157</v>
      </c>
      <c r="B138" s="7" t="s">
        <v>38</v>
      </c>
      <c r="C138" s="8">
        <v>62.49</v>
      </c>
      <c r="D138" s="8" t="s">
        <v>39</v>
      </c>
      <c r="E138" s="8">
        <v>68.27</v>
      </c>
      <c r="F138" s="8">
        <f ca="1">IFERROR(__xludf.DUMMYFUNCTION("INDEX(GOOGLEFINANCE(A138, ""open"", DATE(2025,2,3), DATE(2025,2,3)), 2, 2)"),63.58)</f>
        <v>63.58</v>
      </c>
      <c r="G138" s="8">
        <f ca="1">IFERROR(__xludf.DUMMYFUNCTION("INDEX(GOOGLEFINANCE(A138, ""close"", DATE(2025,2,7), DATE(2025,2,7)), 2, 2)"),64.17)</f>
        <v>64.17</v>
      </c>
      <c r="H138" s="9">
        <f t="shared" ca="1" si="0"/>
        <v>-0.92796476879522405</v>
      </c>
      <c r="I138" s="10">
        <f t="shared" ca="1" si="1"/>
        <v>-9.2796476879522398</v>
      </c>
      <c r="J138" s="10" t="str">
        <f t="shared" si="2"/>
        <v>Call Spread</v>
      </c>
      <c r="K138" s="10" t="str">
        <f t="shared" ca="1" si="3"/>
        <v>Success</v>
      </c>
    </row>
    <row r="139" spans="1:11" ht="16">
      <c r="A139" s="1" t="s">
        <v>158</v>
      </c>
      <c r="B139" s="7" t="s">
        <v>14</v>
      </c>
      <c r="C139" s="8">
        <v>51.55</v>
      </c>
      <c r="D139" s="8" t="s">
        <v>15</v>
      </c>
      <c r="E139" s="8">
        <v>45.01</v>
      </c>
      <c r="F139" s="8">
        <f ca="1">IFERROR(__xludf.DUMMYFUNCTION("INDEX(GOOGLEFINANCE(A139, ""open"", DATE(2025,2,3), DATE(2025,2,3)), 2, 2)"),46.96)</f>
        <v>46.96</v>
      </c>
      <c r="G139" s="8">
        <f ca="1">IFERROR(__xludf.DUMMYFUNCTION("INDEX(GOOGLEFINANCE(A139, ""close"", DATE(2025,2,7), DATE(2025,2,7)), 2, 2)"),49.21)</f>
        <v>49.21</v>
      </c>
      <c r="H139" s="9">
        <f t="shared" ca="1" si="0"/>
        <v>4.7913117546848385</v>
      </c>
      <c r="I139" s="10">
        <f t="shared" ca="1" si="1"/>
        <v>47.91311754684839</v>
      </c>
      <c r="J139" s="10" t="str">
        <f t="shared" si="2"/>
        <v>Put Spread</v>
      </c>
      <c r="K139" s="10" t="str">
        <f t="shared" ca="1" si="3"/>
        <v>Success</v>
      </c>
    </row>
    <row r="140" spans="1:11" ht="16">
      <c r="A140" s="1" t="s">
        <v>159</v>
      </c>
      <c r="B140" s="7" t="s">
        <v>14</v>
      </c>
      <c r="C140" s="8">
        <v>60.21</v>
      </c>
      <c r="D140" s="8" t="s">
        <v>15</v>
      </c>
      <c r="E140" s="8">
        <v>56.61</v>
      </c>
      <c r="F140" s="8">
        <f ca="1">IFERROR(__xludf.DUMMYFUNCTION("INDEX(GOOGLEFINANCE(A140, ""open"", DATE(2025,2,3), DATE(2025,2,3)), 2, 2)"),56.8)</f>
        <v>56.8</v>
      </c>
      <c r="G140" s="8">
        <f ca="1">IFERROR(__xludf.DUMMYFUNCTION("INDEX(GOOGLEFINANCE(A140, ""close"", DATE(2025,2,7), DATE(2025,2,7)), 2, 2)"),57.96)</f>
        <v>57.96</v>
      </c>
      <c r="H140" s="9">
        <f t="shared" ca="1" si="0"/>
        <v>2.0422535211267672</v>
      </c>
      <c r="I140" s="10">
        <f t="shared" ca="1" si="1"/>
        <v>20.422535211267672</v>
      </c>
      <c r="J140" s="10" t="str">
        <f t="shared" si="2"/>
        <v>Put Spread</v>
      </c>
      <c r="K140" s="10" t="str">
        <f t="shared" ca="1" si="3"/>
        <v>Success</v>
      </c>
    </row>
    <row r="141" spans="1:11" ht="16">
      <c r="A141" s="1" t="s">
        <v>160</v>
      </c>
      <c r="B141" s="7" t="s">
        <v>38</v>
      </c>
      <c r="C141" s="8">
        <v>357.59</v>
      </c>
      <c r="D141" s="8" t="s">
        <v>39</v>
      </c>
      <c r="E141" s="8">
        <v>385.29</v>
      </c>
      <c r="F141" s="8">
        <f ca="1">IFERROR(__xludf.DUMMYFUNCTION("INDEX(GOOGLEFINANCE(A141, ""open"", DATE(2025,2,3), DATE(2025,2,3)), 2, 2)"),364.14)</f>
        <v>364.14</v>
      </c>
      <c r="G141" s="8">
        <f ca="1">IFERROR(__xludf.DUMMYFUNCTION("INDEX(GOOGLEFINANCE(A141, ""close"", DATE(2025,2,7), DATE(2025,2,7)), 2, 2)"),363.88)</f>
        <v>363.88</v>
      </c>
      <c r="H141" s="9">
        <f t="shared" ca="1" si="0"/>
        <v>7.1401109463390705E-2</v>
      </c>
      <c r="I141" s="10">
        <f t="shared" ca="1" si="1"/>
        <v>0.71401109463390711</v>
      </c>
      <c r="J141" s="10" t="str">
        <f t="shared" si="2"/>
        <v>Call Spread</v>
      </c>
      <c r="K141" s="10" t="str">
        <f t="shared" ca="1" si="3"/>
        <v>Success</v>
      </c>
    </row>
    <row r="142" spans="1:11" ht="16">
      <c r="A142" s="1" t="s">
        <v>161</v>
      </c>
      <c r="B142" s="7" t="s">
        <v>14</v>
      </c>
      <c r="C142" s="8">
        <v>146.37</v>
      </c>
      <c r="D142" s="8" t="s">
        <v>15</v>
      </c>
      <c r="E142" s="8">
        <v>123.73</v>
      </c>
      <c r="F142" s="8">
        <f ca="1">IFERROR(__xludf.DUMMYFUNCTION("INDEX(GOOGLEFINANCE(A142, ""open"", DATE(2025,2,3), DATE(2025,2,3)), 2, 2)"),130.75)</f>
        <v>130.75</v>
      </c>
      <c r="G142" s="8">
        <f ca="1">IFERROR(__xludf.DUMMYFUNCTION("INDEX(GOOGLEFINANCE(A142, ""close"", DATE(2025,2,7), DATE(2025,2,7)), 2, 2)"),138.4)</f>
        <v>138.4</v>
      </c>
      <c r="H142" s="9">
        <f t="shared" ca="1" si="0"/>
        <v>5.8508604206501005</v>
      </c>
      <c r="I142" s="10">
        <f t="shared" ca="1" si="1"/>
        <v>58.508604206501005</v>
      </c>
      <c r="J142" s="10" t="str">
        <f t="shared" si="2"/>
        <v>Put Spread</v>
      </c>
      <c r="K142" s="10" t="str">
        <f t="shared" ca="1" si="3"/>
        <v>Success</v>
      </c>
    </row>
    <row r="143" spans="1:11" ht="16">
      <c r="A143" s="1" t="s">
        <v>162</v>
      </c>
      <c r="B143" s="7" t="s">
        <v>14</v>
      </c>
      <c r="C143" s="8">
        <v>278.64999999999998</v>
      </c>
      <c r="D143" s="8" t="s">
        <v>15</v>
      </c>
      <c r="E143" s="8">
        <v>265.11</v>
      </c>
      <c r="F143" s="8">
        <f ca="1">IFERROR(__xludf.DUMMYFUNCTION("INDEX(GOOGLEFINANCE(A143, ""open"", DATE(2025,2,3), DATE(2025,2,3)), 2, 2)"),269.3)</f>
        <v>269.3</v>
      </c>
      <c r="G143" s="8">
        <f ca="1">IFERROR(__xludf.DUMMYFUNCTION("INDEX(GOOGLEFINANCE(A143, ""close"", DATE(2025,2,7), DATE(2025,2,7)), 2, 2)"),270.16)</f>
        <v>270.16000000000003</v>
      </c>
      <c r="H143" s="9">
        <f t="shared" ca="1" si="0"/>
        <v>0.31934645376903587</v>
      </c>
      <c r="I143" s="10">
        <f t="shared" ca="1" si="1"/>
        <v>3.1934645376903585</v>
      </c>
      <c r="J143" s="10" t="str">
        <f t="shared" si="2"/>
        <v>Put Spread</v>
      </c>
      <c r="K143" s="10" t="str">
        <f t="shared" ca="1" si="3"/>
        <v>Success</v>
      </c>
    </row>
    <row r="144" spans="1:11" ht="16">
      <c r="A144" s="1" t="s">
        <v>163</v>
      </c>
      <c r="B144" s="7" t="s">
        <v>14</v>
      </c>
      <c r="C144" s="8">
        <v>211.13</v>
      </c>
      <c r="D144" s="8" t="s">
        <v>15</v>
      </c>
      <c r="E144" s="8">
        <v>197.53</v>
      </c>
      <c r="F144" s="8">
        <f ca="1">IFERROR(__xludf.DUMMYFUNCTION("INDEX(GOOGLEFINANCE(A144, ""open"", DATE(2025,2,3), DATE(2025,2,3)), 2, 2)"),204.91)</f>
        <v>204.91</v>
      </c>
      <c r="G144" s="8">
        <f ca="1">IFERROR(__xludf.DUMMYFUNCTION("INDEX(GOOGLEFINANCE(A144, ""close"", DATE(2025,2,7), DATE(2025,2,7)), 2, 2)"),211.17)</f>
        <v>211.17</v>
      </c>
      <c r="H144" s="9">
        <f t="shared" ca="1" si="0"/>
        <v>3.0549997559904307</v>
      </c>
      <c r="I144" s="10">
        <f t="shared" ca="1" si="1"/>
        <v>30.549997559904309</v>
      </c>
      <c r="J144" s="10" t="str">
        <f t="shared" si="2"/>
        <v>Put Spread</v>
      </c>
      <c r="K144" s="10" t="str">
        <f t="shared" ca="1" si="3"/>
        <v>Success</v>
      </c>
    </row>
    <row r="145" spans="1:11" ht="16">
      <c r="A145" s="1" t="s">
        <v>164</v>
      </c>
      <c r="B145" s="7" t="s">
        <v>14</v>
      </c>
      <c r="C145" s="8">
        <v>4.47</v>
      </c>
      <c r="D145" s="8" t="s">
        <v>15</v>
      </c>
      <c r="E145" s="8">
        <v>2.4700000000000002</v>
      </c>
      <c r="F145" s="8">
        <f ca="1">IFERROR(__xludf.DUMMYFUNCTION("INDEX(GOOGLEFINANCE(A145, ""open"", DATE(2025,2,3), DATE(2025,2,3)), 2, 2)"),3.38)</f>
        <v>3.38</v>
      </c>
      <c r="G145" s="8">
        <f ca="1">IFERROR(__xludf.DUMMYFUNCTION("INDEX(GOOGLEFINANCE(A145, ""close"", DATE(2025,2,7), DATE(2025,2,7)), 2, 2)"),3.55)</f>
        <v>3.55</v>
      </c>
      <c r="H145" s="9">
        <f t="shared" ca="1" si="0"/>
        <v>5.0295857988165658</v>
      </c>
      <c r="I145" s="10">
        <f t="shared" ca="1" si="1"/>
        <v>50.29585798816565</v>
      </c>
      <c r="J145" s="10" t="str">
        <f t="shared" si="2"/>
        <v>Put Spread</v>
      </c>
      <c r="K145" s="10" t="str">
        <f t="shared" ca="1" si="3"/>
        <v>Success</v>
      </c>
    </row>
    <row r="146" spans="1:11" ht="16">
      <c r="A146" s="1" t="s">
        <v>165</v>
      </c>
      <c r="B146" s="7" t="s">
        <v>14</v>
      </c>
      <c r="C146" s="8">
        <v>52.85</v>
      </c>
      <c r="D146" s="8" t="s">
        <v>15</v>
      </c>
      <c r="E146" s="8">
        <v>46.03</v>
      </c>
      <c r="F146" s="8">
        <f ca="1">IFERROR(__xludf.DUMMYFUNCTION("INDEX(GOOGLEFINANCE(A146, ""open"", DATE(2025,2,3), DATE(2025,2,3)), 2, 2)"),47.44)</f>
        <v>47.44</v>
      </c>
      <c r="G146" s="8">
        <f ca="1">IFERROR(__xludf.DUMMYFUNCTION("INDEX(GOOGLEFINANCE(A146, ""close"", DATE(2025,2,7), DATE(2025,2,7)), 2, 2)"),49.93)</f>
        <v>49.93</v>
      </c>
      <c r="H146" s="9">
        <f t="shared" ca="1" si="0"/>
        <v>5.2487352445193975</v>
      </c>
      <c r="I146" s="10">
        <f t="shared" ca="1" si="1"/>
        <v>52.487352445193977</v>
      </c>
      <c r="J146" s="10" t="str">
        <f t="shared" si="2"/>
        <v>Put Spread</v>
      </c>
      <c r="K146" s="10" t="str">
        <f t="shared" ca="1" si="3"/>
        <v>Success</v>
      </c>
    </row>
    <row r="147" spans="1:11" ht="16">
      <c r="A147" s="1" t="s">
        <v>166</v>
      </c>
      <c r="B147" s="7" t="s">
        <v>14</v>
      </c>
      <c r="C147" s="8">
        <v>29.08</v>
      </c>
      <c r="D147" s="8" t="s">
        <v>15</v>
      </c>
      <c r="E147" s="8">
        <v>26.26</v>
      </c>
      <c r="F147" s="8">
        <f ca="1">IFERROR(__xludf.DUMMYFUNCTION("INDEX(GOOGLEFINANCE(A147, ""open"", DATE(2025,2,3), DATE(2025,2,3)), 2, 2)"),26.52)</f>
        <v>26.52</v>
      </c>
      <c r="G147" s="8">
        <f ca="1">IFERROR(__xludf.DUMMYFUNCTION("INDEX(GOOGLEFINANCE(A147, ""close"", DATE(2025,2,7), DATE(2025,2,7)), 2, 2)"),26.75)</f>
        <v>26.75</v>
      </c>
      <c r="H147" s="9">
        <f t="shared" ca="1" si="0"/>
        <v>0.86726998491704532</v>
      </c>
      <c r="I147" s="10">
        <f t="shared" ca="1" si="1"/>
        <v>8.6726998491704528</v>
      </c>
      <c r="J147" s="10" t="str">
        <f t="shared" si="2"/>
        <v>Put Spread</v>
      </c>
      <c r="K147" s="10" t="str">
        <f t="shared" ca="1" si="3"/>
        <v>Success</v>
      </c>
    </row>
    <row r="148" spans="1:11" ht="16">
      <c r="A148" s="1" t="s">
        <v>167</v>
      </c>
      <c r="B148" s="7" t="s">
        <v>14</v>
      </c>
      <c r="C148" s="8">
        <v>3.57</v>
      </c>
      <c r="D148" s="8" t="s">
        <v>15</v>
      </c>
      <c r="E148" s="8">
        <v>2.5499999999999998</v>
      </c>
      <c r="F148" s="8">
        <f ca="1">IFERROR(__xludf.DUMMYFUNCTION("INDEX(GOOGLEFINANCE(A148, ""open"", DATE(2025,2,3), DATE(2025,2,3)), 2, 2)"),3)</f>
        <v>3</v>
      </c>
      <c r="G148" s="8">
        <f ca="1">IFERROR(__xludf.DUMMYFUNCTION("INDEX(GOOGLEFINANCE(A148, ""close"", DATE(2025,2,7), DATE(2025,2,7)), 2, 2)"),3.4)</f>
        <v>3.4</v>
      </c>
      <c r="H148" s="9">
        <f t="shared" ca="1" si="0"/>
        <v>13.33333333333333</v>
      </c>
      <c r="I148" s="10">
        <f t="shared" ca="1" si="1"/>
        <v>133.33333333333331</v>
      </c>
      <c r="J148" s="10" t="str">
        <f t="shared" si="2"/>
        <v>Put Spread</v>
      </c>
      <c r="K148" s="10" t="str">
        <f t="shared" ca="1" si="3"/>
        <v>Success</v>
      </c>
    </row>
    <row r="149" spans="1:11" ht="16">
      <c r="A149" s="1" t="s">
        <v>168</v>
      </c>
      <c r="B149" s="7" t="s">
        <v>38</v>
      </c>
      <c r="C149" s="8">
        <v>274.62</v>
      </c>
      <c r="D149" s="8" t="s">
        <v>39</v>
      </c>
      <c r="E149" s="8">
        <v>325.33999999999997</v>
      </c>
      <c r="F149" s="8">
        <f ca="1">IFERROR(__xludf.DUMMYFUNCTION("INDEX(GOOGLEFINANCE(A149, ""open"", DATE(2025,2,3), DATE(2025,2,3)), 2, 2)"),285.4)</f>
        <v>285.39999999999998</v>
      </c>
      <c r="G149" s="8">
        <f ca="1">IFERROR(__xludf.DUMMYFUNCTION("INDEX(GOOGLEFINANCE(A149, ""close"", DATE(2025,2,7), DATE(2025,2,7)), 2, 2)"),309.79)</f>
        <v>309.79000000000002</v>
      </c>
      <c r="H149" s="9">
        <f t="shared" ca="1" si="0"/>
        <v>-8.5459004905396103</v>
      </c>
      <c r="I149" s="10">
        <f t="shared" ca="1" si="1"/>
        <v>-85.4590049053961</v>
      </c>
      <c r="J149" s="10" t="str">
        <f t="shared" si="2"/>
        <v>Call Spread</v>
      </c>
      <c r="K149" s="10" t="str">
        <f t="shared" ca="1" si="3"/>
        <v>Success</v>
      </c>
    </row>
    <row r="150" spans="1:11" ht="16">
      <c r="A150" s="1" t="s">
        <v>169</v>
      </c>
      <c r="B150" s="7" t="s">
        <v>14</v>
      </c>
      <c r="C150" s="8">
        <v>27.72</v>
      </c>
      <c r="D150" s="8" t="s">
        <v>15</v>
      </c>
      <c r="E150" s="8">
        <v>22.24</v>
      </c>
      <c r="F150" s="8">
        <f ca="1">IFERROR(__xludf.DUMMYFUNCTION("INDEX(GOOGLEFINANCE(A150, ""open"", DATE(2025,2,3), DATE(2025,2,3)), 2, 2)"),24)</f>
        <v>24</v>
      </c>
      <c r="G150" s="8">
        <f ca="1">IFERROR(__xludf.DUMMYFUNCTION("INDEX(GOOGLEFINANCE(A150, ""close"", DATE(2025,2,7), DATE(2025,2,7)), 2, 2)"),22.41)</f>
        <v>22.41</v>
      </c>
      <c r="H150" s="9">
        <f t="shared" ca="1" si="0"/>
        <v>-6.6249999999999991</v>
      </c>
      <c r="I150" s="10">
        <f t="shared" ca="1" si="1"/>
        <v>-66.249999999999986</v>
      </c>
      <c r="J150" s="10" t="str">
        <f t="shared" si="2"/>
        <v>Put Spread</v>
      </c>
      <c r="K150" s="10" t="str">
        <f t="shared" ca="1" si="3"/>
        <v>Success</v>
      </c>
    </row>
    <row r="151" spans="1:11" ht="16">
      <c r="A151" s="1" t="s">
        <v>170</v>
      </c>
      <c r="B151" s="7" t="s">
        <v>14</v>
      </c>
      <c r="C151" s="8">
        <v>95.83</v>
      </c>
      <c r="D151" s="8" t="s">
        <v>15</v>
      </c>
      <c r="E151" s="8">
        <v>88.59</v>
      </c>
      <c r="F151" s="8">
        <f ca="1">IFERROR(__xludf.DUMMYFUNCTION("INDEX(GOOGLEFINANCE(A151, ""open"", DATE(2025,2,3), DATE(2025,2,3)), 2, 2)"),91.24)</f>
        <v>91.24</v>
      </c>
      <c r="G151" s="8">
        <f ca="1">IFERROR(__xludf.DUMMYFUNCTION("INDEX(GOOGLEFINANCE(A151, ""close"", DATE(2025,2,7), DATE(2025,2,7)), 2, 2)"),84.05)</f>
        <v>84.05</v>
      </c>
      <c r="H151" s="9">
        <f t="shared" ca="1" si="0"/>
        <v>-7.8803156510302479</v>
      </c>
      <c r="I151" s="10">
        <f t="shared" ca="1" si="1"/>
        <v>-78.803156510302472</v>
      </c>
      <c r="J151" s="10" t="str">
        <f t="shared" si="2"/>
        <v>Put Spread</v>
      </c>
      <c r="K151" s="10" t="str">
        <f t="shared" ca="1" si="3"/>
        <v>No</v>
      </c>
    </row>
    <row r="152" spans="1:11" ht="16">
      <c r="A152" s="1" t="s">
        <v>171</v>
      </c>
      <c r="B152" s="7" t="s">
        <v>14</v>
      </c>
      <c r="C152" s="8">
        <v>32.71</v>
      </c>
      <c r="D152" s="8" t="s">
        <v>15</v>
      </c>
      <c r="E152" s="8">
        <v>26.65</v>
      </c>
      <c r="F152" s="8">
        <f ca="1">IFERROR(__xludf.DUMMYFUNCTION("INDEX(GOOGLEFINANCE(A152, ""open"", DATE(2025,2,3), DATE(2025,2,3)), 2, 2)"),28.37)</f>
        <v>28.37</v>
      </c>
      <c r="G152" s="8">
        <f ca="1">IFERROR(__xludf.DUMMYFUNCTION("INDEX(GOOGLEFINANCE(A152, ""close"", DATE(2025,2,7), DATE(2025,2,7)), 2, 2)"),30.02)</f>
        <v>30.02</v>
      </c>
      <c r="H152" s="9">
        <f t="shared" ca="1" si="0"/>
        <v>5.8160028198801497</v>
      </c>
      <c r="I152" s="10">
        <f t="shared" ca="1" si="1"/>
        <v>58.160028198801491</v>
      </c>
      <c r="J152" s="10" t="str">
        <f t="shared" si="2"/>
        <v>Put Spread</v>
      </c>
      <c r="K152" s="10" t="str">
        <f t="shared" ca="1" si="3"/>
        <v>Success</v>
      </c>
    </row>
    <row r="153" spans="1:11" ht="16">
      <c r="A153" s="1" t="s">
        <v>172</v>
      </c>
      <c r="B153" s="7" t="s">
        <v>14</v>
      </c>
      <c r="C153" s="8">
        <v>2.25</v>
      </c>
      <c r="D153" s="8" t="s">
        <v>15</v>
      </c>
      <c r="E153" s="8">
        <v>1.73</v>
      </c>
      <c r="F153" s="8">
        <f ca="1">IFERROR(__xludf.DUMMYFUNCTION("INDEX(GOOGLEFINANCE(A153, ""open"", DATE(2025,2,3), DATE(2025,2,3)), 2, 2)"),1.89)</f>
        <v>1.89</v>
      </c>
      <c r="G153" s="8">
        <f ca="1">IFERROR(__xludf.DUMMYFUNCTION("INDEX(GOOGLEFINANCE(A153, ""close"", DATE(2025,2,7), DATE(2025,2,7)), 2, 2)"),2.02)</f>
        <v>2.02</v>
      </c>
      <c r="H153" s="9">
        <f t="shared" ca="1" si="0"/>
        <v>6.8783068783068853</v>
      </c>
      <c r="I153" s="10">
        <f t="shared" ca="1" si="1"/>
        <v>68.783068783068856</v>
      </c>
      <c r="J153" s="10" t="str">
        <f t="shared" si="2"/>
        <v>Put Spread</v>
      </c>
      <c r="K153" s="10" t="str">
        <f t="shared" ca="1" si="3"/>
        <v>Success</v>
      </c>
    </row>
    <row r="154" spans="1:11" ht="16">
      <c r="A154" s="1" t="s">
        <v>173</v>
      </c>
      <c r="B154" s="7" t="s">
        <v>14</v>
      </c>
      <c r="C154" s="8">
        <v>10.220000000000001</v>
      </c>
      <c r="D154" s="8" t="s">
        <v>15</v>
      </c>
      <c r="E154" s="8">
        <v>8.4</v>
      </c>
      <c r="F154" s="8">
        <f ca="1">IFERROR(__xludf.DUMMYFUNCTION("INDEX(GOOGLEFINANCE(A154, ""open"", DATE(2025,2,3), DATE(2025,2,3)), 2, 2)"),9.03)</f>
        <v>9.0299999999999994</v>
      </c>
      <c r="G154" s="8">
        <f ca="1">IFERROR(__xludf.DUMMYFUNCTION("INDEX(GOOGLEFINANCE(A154, ""close"", DATE(2025,2,7), DATE(2025,2,7)), 2, 2)"),10.71)</f>
        <v>10.71</v>
      </c>
      <c r="H154" s="9">
        <f t="shared" ca="1" si="0"/>
        <v>18.604651162790717</v>
      </c>
      <c r="I154" s="10">
        <f t="shared" ca="1" si="1"/>
        <v>186.04651162790717</v>
      </c>
      <c r="J154" s="10" t="str">
        <f t="shared" si="2"/>
        <v>Put Spread</v>
      </c>
      <c r="K154" s="10" t="str">
        <f t="shared" ca="1" si="3"/>
        <v>Success</v>
      </c>
    </row>
    <row r="155" spans="1:11" ht="16">
      <c r="A155" s="1" t="s">
        <v>174</v>
      </c>
      <c r="B155" s="7" t="s">
        <v>14</v>
      </c>
      <c r="C155" s="8">
        <v>15.19</v>
      </c>
      <c r="D155" s="8" t="s">
        <v>15</v>
      </c>
      <c r="E155" s="8">
        <v>12.75</v>
      </c>
      <c r="F155" s="8">
        <f ca="1">IFERROR(__xludf.DUMMYFUNCTION("INDEX(GOOGLEFINANCE(A155, ""open"", DATE(2025,2,3), DATE(2025,2,3)), 2, 2)"),13.62)</f>
        <v>13.62</v>
      </c>
      <c r="G155" s="8">
        <f ca="1">IFERROR(__xludf.DUMMYFUNCTION("INDEX(GOOGLEFINANCE(A155, ""close"", DATE(2025,2,7), DATE(2025,2,7)), 2, 2)"),14.4)</f>
        <v>14.4</v>
      </c>
      <c r="H155" s="9">
        <f t="shared" ca="1" si="0"/>
        <v>5.7268722466960433</v>
      </c>
      <c r="I155" s="10">
        <f t="shared" ca="1" si="1"/>
        <v>57.268722466960433</v>
      </c>
      <c r="J155" s="10" t="str">
        <f t="shared" si="2"/>
        <v>Put Spread</v>
      </c>
      <c r="K155" s="10" t="str">
        <f t="shared" ca="1" si="3"/>
        <v>Success</v>
      </c>
    </row>
    <row r="156" spans="1:11" ht="16">
      <c r="A156" s="1" t="s">
        <v>175</v>
      </c>
      <c r="B156" s="7" t="s">
        <v>14</v>
      </c>
      <c r="C156" s="8">
        <v>1.1200000000000001</v>
      </c>
      <c r="D156" s="8" t="s">
        <v>15</v>
      </c>
      <c r="E156" s="8">
        <v>0.81</v>
      </c>
      <c r="F156" s="8">
        <f ca="1">IFERROR(__xludf.DUMMYFUNCTION("INDEX(GOOGLEFINANCE(A156, ""open"", DATE(2025,2,3), DATE(2025,2,3)), 2, 2)"),0.93)</f>
        <v>0.93</v>
      </c>
      <c r="G156" s="8">
        <f ca="1">IFERROR(__xludf.DUMMYFUNCTION("INDEX(GOOGLEFINANCE(A156, ""close"", DATE(2025,2,7), DATE(2025,2,7)), 2, 2)"),0.81)</f>
        <v>0.81</v>
      </c>
      <c r="H156" s="9">
        <f t="shared" ca="1" si="0"/>
        <v>-12.903225806451612</v>
      </c>
      <c r="I156" s="10">
        <f t="shared" ca="1" si="1"/>
        <v>-129.03225806451613</v>
      </c>
      <c r="J156" s="10" t="str">
        <f t="shared" si="2"/>
        <v>Put Spread</v>
      </c>
      <c r="K156" s="10" t="str">
        <f t="shared" ca="1" si="3"/>
        <v>No</v>
      </c>
    </row>
    <row r="157" spans="1:11" ht="16">
      <c r="A157" s="1" t="s">
        <v>176</v>
      </c>
      <c r="B157" s="7" t="s">
        <v>14</v>
      </c>
      <c r="C157" s="8">
        <v>360.93</v>
      </c>
      <c r="D157" s="8" t="s">
        <v>15</v>
      </c>
      <c r="E157" s="8">
        <v>330.05</v>
      </c>
      <c r="F157" s="8">
        <f ca="1">IFERROR(__xludf.DUMMYFUNCTION("INDEX(GOOGLEFINANCE(A157, ""open"", DATE(2025,2,3), DATE(2025,2,3)), 2, 2)"),346.5)</f>
        <v>346.5</v>
      </c>
      <c r="G157" s="8">
        <f ca="1">IFERROR(__xludf.DUMMYFUNCTION("INDEX(GOOGLEFINANCE(A157, ""close"", DATE(2025,2,7), DATE(2025,2,7)), 2, 2)"),347.84)</f>
        <v>347.84</v>
      </c>
      <c r="H157" s="9">
        <f t="shared" ca="1" si="0"/>
        <v>0.38672438672437953</v>
      </c>
      <c r="I157" s="10">
        <f t="shared" ca="1" si="1"/>
        <v>3.8672438672437952</v>
      </c>
      <c r="J157" s="10" t="str">
        <f t="shared" si="2"/>
        <v>Put Spread</v>
      </c>
      <c r="K157" s="10" t="str">
        <f t="shared" ca="1" si="3"/>
        <v>Success</v>
      </c>
    </row>
    <row r="158" spans="1:11" ht="16">
      <c r="A158" s="1" t="s">
        <v>177</v>
      </c>
      <c r="B158" s="7" t="s">
        <v>14</v>
      </c>
      <c r="C158" s="8">
        <v>41.35</v>
      </c>
      <c r="D158" s="8" t="s">
        <v>15</v>
      </c>
      <c r="E158" s="8">
        <v>36.61</v>
      </c>
      <c r="F158" s="8">
        <f ca="1">IFERROR(__xludf.DUMMYFUNCTION("INDEX(GOOGLEFINANCE(A158, ""open"", DATE(2025,2,3), DATE(2025,2,3)), 2, 2)"),37.9)</f>
        <v>37.9</v>
      </c>
      <c r="G158" s="8">
        <f ca="1">IFERROR(__xludf.DUMMYFUNCTION("INDEX(GOOGLEFINANCE(A158, ""close"", DATE(2025,2,7), DATE(2025,2,7)), 2, 2)"),37.16)</f>
        <v>37.159999999999997</v>
      </c>
      <c r="H158" s="9">
        <f t="shared" ca="1" si="0"/>
        <v>-1.9525065963060739</v>
      </c>
      <c r="I158" s="10">
        <f t="shared" ca="1" si="1"/>
        <v>-19.52506596306074</v>
      </c>
      <c r="J158" s="10" t="str">
        <f t="shared" si="2"/>
        <v>Put Spread</v>
      </c>
      <c r="K158" s="10" t="str">
        <f t="shared" ca="1" si="3"/>
        <v>Success</v>
      </c>
    </row>
    <row r="159" spans="1:11" ht="16">
      <c r="A159" s="1" t="s">
        <v>178</v>
      </c>
      <c r="B159" s="7" t="s">
        <v>14</v>
      </c>
      <c r="C159" s="8">
        <v>304.64999999999998</v>
      </c>
      <c r="D159" s="8" t="s">
        <v>15</v>
      </c>
      <c r="E159" s="8">
        <v>283.77</v>
      </c>
      <c r="F159" s="8">
        <f ca="1">IFERROR(__xludf.DUMMYFUNCTION("INDEX(GOOGLEFINANCE(A159, ""open"", DATE(2025,2,3), DATE(2025,2,3)), 2, 2)"),292.12)</f>
        <v>292.12</v>
      </c>
      <c r="G159" s="8">
        <f ca="1">IFERROR(__xludf.DUMMYFUNCTION("INDEX(GOOGLEFINANCE(A159, ""close"", DATE(2025,2,7), DATE(2025,2,7)), 2, 2)"),286.71)</f>
        <v>286.70999999999998</v>
      </c>
      <c r="H159" s="9">
        <f t="shared" ca="1" si="0"/>
        <v>-1.8519786389155228</v>
      </c>
      <c r="I159" s="10">
        <f t="shared" ca="1" si="1"/>
        <v>-18.519786389155229</v>
      </c>
      <c r="J159" s="10" t="str">
        <f t="shared" si="2"/>
        <v>Put Spread</v>
      </c>
      <c r="K159" s="10" t="str">
        <f t="shared" ca="1" si="3"/>
        <v>Success</v>
      </c>
    </row>
    <row r="160" spans="1:11" ht="16">
      <c r="A160" s="1" t="s">
        <v>179</v>
      </c>
      <c r="B160" s="7" t="s">
        <v>14</v>
      </c>
      <c r="C160" s="8">
        <v>69.55</v>
      </c>
      <c r="D160" s="8" t="s">
        <v>15</v>
      </c>
      <c r="E160" s="8">
        <v>65.650000000000006</v>
      </c>
      <c r="F160" s="8">
        <f ca="1">IFERROR(__xludf.DUMMYFUNCTION("INDEX(GOOGLEFINANCE(A160, ""open"", DATE(2025,2,3), DATE(2025,2,3)), 2, 2)"),66.26)</f>
        <v>66.260000000000005</v>
      </c>
      <c r="G160" s="8">
        <f ca="1">IFERROR(__xludf.DUMMYFUNCTION("INDEX(GOOGLEFINANCE(A160, ""close"", DATE(2025,2,7), DATE(2025,2,7)), 2, 2)"),69.42)</f>
        <v>69.42</v>
      </c>
      <c r="H160" s="9">
        <f t="shared" ca="1" si="0"/>
        <v>4.7690914578931425</v>
      </c>
      <c r="I160" s="10">
        <f t="shared" ca="1" si="1"/>
        <v>47.690914578931427</v>
      </c>
      <c r="J160" s="10" t="str">
        <f t="shared" si="2"/>
        <v>Put Spread</v>
      </c>
      <c r="K160" s="10" t="str">
        <f t="shared" ca="1" si="3"/>
        <v>Success</v>
      </c>
    </row>
    <row r="161" spans="1:11" ht="16">
      <c r="A161" s="1" t="s">
        <v>180</v>
      </c>
      <c r="B161" s="7" t="s">
        <v>14</v>
      </c>
      <c r="C161" s="8">
        <v>6.93</v>
      </c>
      <c r="D161" s="8" t="s">
        <v>15</v>
      </c>
      <c r="E161" s="8">
        <v>4.53</v>
      </c>
      <c r="F161" s="8">
        <f ca="1">IFERROR(__xludf.DUMMYFUNCTION("INDEX(GOOGLEFINANCE(A161, ""open"", DATE(2025,2,3), DATE(2025,2,3)), 2, 2)"),5.23)</f>
        <v>5.23</v>
      </c>
      <c r="G161" s="8">
        <f ca="1">IFERROR(__xludf.DUMMYFUNCTION("INDEX(GOOGLEFINANCE(A161, ""close"", DATE(2025,2,7), DATE(2025,2,7)), 2, 2)"),5.97)</f>
        <v>5.97</v>
      </c>
      <c r="H161" s="9">
        <f t="shared" ca="1" si="0"/>
        <v>14.149139579349889</v>
      </c>
      <c r="I161" s="10">
        <f t="shared" ca="1" si="1"/>
        <v>141.4913957934989</v>
      </c>
      <c r="J161" s="10" t="str">
        <f t="shared" si="2"/>
        <v>Put Spread</v>
      </c>
      <c r="K161" s="10" t="str">
        <f t="shared" ca="1" si="3"/>
        <v>Success</v>
      </c>
    </row>
    <row r="162" spans="1:11" ht="16">
      <c r="A162" s="1" t="s">
        <v>181</v>
      </c>
      <c r="B162" s="7" t="s">
        <v>38</v>
      </c>
      <c r="C162" s="8">
        <v>84.54</v>
      </c>
      <c r="D162" s="8" t="s">
        <v>39</v>
      </c>
      <c r="E162" s="8">
        <v>88.86</v>
      </c>
      <c r="F162" s="8">
        <f ca="1">IFERROR(__xludf.DUMMYFUNCTION("INDEX(GOOGLEFINANCE(A162, ""open"", DATE(2025,2,3), DATE(2025,2,3)), 2, 2)"),87.07)</f>
        <v>87.07</v>
      </c>
      <c r="G162" s="8">
        <f ca="1">IFERROR(__xludf.DUMMYFUNCTION("INDEX(GOOGLEFINANCE(A162, ""close"", DATE(2025,2,7), DATE(2025,2,7)), 2, 2)"),86.76)</f>
        <v>86.76</v>
      </c>
      <c r="H162" s="9">
        <f t="shared" ca="1" si="0"/>
        <v>0.35603537383712885</v>
      </c>
      <c r="I162" s="10">
        <f t="shared" ca="1" si="1"/>
        <v>3.5603537383712887</v>
      </c>
      <c r="J162" s="10" t="str">
        <f t="shared" si="2"/>
        <v>Call Spread</v>
      </c>
      <c r="K162" s="10" t="str">
        <f t="shared" ca="1" si="3"/>
        <v>Success</v>
      </c>
    </row>
    <row r="163" spans="1:11" ht="16">
      <c r="A163" s="1" t="s">
        <v>182</v>
      </c>
      <c r="B163" s="7" t="s">
        <v>14</v>
      </c>
      <c r="C163" s="8">
        <v>25.76</v>
      </c>
      <c r="D163" s="8" t="s">
        <v>15</v>
      </c>
      <c r="E163" s="8">
        <v>22.32</v>
      </c>
      <c r="F163" s="8">
        <f ca="1">IFERROR(__xludf.DUMMYFUNCTION("INDEX(GOOGLEFINANCE(A163, ""open"", DATE(2025,2,3), DATE(2025,2,3)), 2, 2)"),23.36)</f>
        <v>23.36</v>
      </c>
      <c r="G163" s="8">
        <f ca="1">IFERROR(__xludf.DUMMYFUNCTION("INDEX(GOOGLEFINANCE(A163, ""close"", DATE(2025,2,7), DATE(2025,2,7)), 2, 2)"),25.41)</f>
        <v>25.41</v>
      </c>
      <c r="H163" s="9">
        <f t="shared" ca="1" si="0"/>
        <v>8.7756849315068521</v>
      </c>
      <c r="I163" s="10">
        <f t="shared" ca="1" si="1"/>
        <v>87.756849315068521</v>
      </c>
      <c r="J163" s="10" t="str">
        <f t="shared" si="2"/>
        <v>Put Spread</v>
      </c>
      <c r="K163" s="10" t="str">
        <f t="shared" ca="1" si="3"/>
        <v>Success</v>
      </c>
    </row>
    <row r="164" spans="1:11" ht="16">
      <c r="A164" s="1" t="s">
        <v>183</v>
      </c>
      <c r="B164" s="7" t="s">
        <v>14</v>
      </c>
      <c r="C164" s="8">
        <v>11.07</v>
      </c>
      <c r="D164" s="8" t="s">
        <v>15</v>
      </c>
      <c r="E164" s="8">
        <v>9.41</v>
      </c>
      <c r="F164" s="8">
        <f ca="1">IFERROR(__xludf.DUMMYFUNCTION("INDEX(GOOGLEFINANCE(A164, ""open"", DATE(2025,2,3), DATE(2025,2,3)), 2, 2)"),9.85)</f>
        <v>9.85</v>
      </c>
      <c r="G164" s="8">
        <f ca="1">IFERROR(__xludf.DUMMYFUNCTION("INDEX(GOOGLEFINANCE(A164, ""close"", DATE(2025,2,7), DATE(2025,2,7)), 2, 2)"),10.04)</f>
        <v>10.039999999999999</v>
      </c>
      <c r="H164" s="9">
        <f t="shared" ca="1" si="0"/>
        <v>1.9289340101522792</v>
      </c>
      <c r="I164" s="10">
        <f t="shared" ca="1" si="1"/>
        <v>19.289340101522793</v>
      </c>
      <c r="J164" s="10" t="str">
        <f t="shared" si="2"/>
        <v>Put Spread</v>
      </c>
      <c r="K164" s="10" t="str">
        <f t="shared" ca="1" si="3"/>
        <v>Success</v>
      </c>
    </row>
    <row r="165" spans="1:11" ht="16">
      <c r="A165" s="1" t="s">
        <v>184</v>
      </c>
      <c r="B165" s="7" t="s">
        <v>14</v>
      </c>
      <c r="C165" s="8">
        <v>4.87</v>
      </c>
      <c r="D165" s="8" t="s">
        <v>15</v>
      </c>
      <c r="E165" s="8">
        <v>3.91</v>
      </c>
      <c r="F165" s="8">
        <f ca="1">IFERROR(__xludf.DUMMYFUNCTION("INDEX(GOOGLEFINANCE(A165, ""open"", DATE(2025,2,3), DATE(2025,2,3)), 2, 2)"),4.18)</f>
        <v>4.18</v>
      </c>
      <c r="G165" s="8">
        <f ca="1">IFERROR(__xludf.DUMMYFUNCTION("INDEX(GOOGLEFINANCE(A165, ""close"", DATE(2025,2,7), DATE(2025,2,7)), 2, 2)"),4.32)</f>
        <v>4.32</v>
      </c>
      <c r="H165" s="9">
        <f t="shared" ca="1" si="0"/>
        <v>3.3492822966507316</v>
      </c>
      <c r="I165" s="10">
        <f t="shared" ca="1" si="1"/>
        <v>33.492822966507312</v>
      </c>
      <c r="J165" s="10" t="str">
        <f t="shared" si="2"/>
        <v>Put Spread</v>
      </c>
      <c r="K165" s="10" t="str">
        <f t="shared" ca="1" si="3"/>
        <v>Success</v>
      </c>
    </row>
    <row r="166" spans="1:11" ht="16">
      <c r="A166" s="1" t="s">
        <v>185</v>
      </c>
      <c r="B166" s="7" t="s">
        <v>14</v>
      </c>
      <c r="C166" s="8">
        <v>11.98</v>
      </c>
      <c r="D166" s="8" t="s">
        <v>15</v>
      </c>
      <c r="E166" s="8">
        <v>8.9</v>
      </c>
      <c r="F166" s="8">
        <f ca="1">IFERROR(__xludf.DUMMYFUNCTION("INDEX(GOOGLEFINANCE(A166, ""open"", DATE(2025,2,3), DATE(2025,2,3)), 2, 2)"),9.63)</f>
        <v>9.6300000000000008</v>
      </c>
      <c r="G166" s="8">
        <f ca="1">IFERROR(__xludf.DUMMYFUNCTION("INDEX(GOOGLEFINANCE(A166, ""close"", DATE(2025,2,7), DATE(2025,2,7)), 2, 2)"),11.33)</f>
        <v>11.33</v>
      </c>
      <c r="H166" s="9">
        <f t="shared" ca="1" si="0"/>
        <v>17.653167185877457</v>
      </c>
      <c r="I166" s="10">
        <f t="shared" ca="1" si="1"/>
        <v>176.53167185877456</v>
      </c>
      <c r="J166" s="10" t="str">
        <f t="shared" si="2"/>
        <v>Put Spread</v>
      </c>
      <c r="K166" s="10" t="str">
        <f t="shared" ca="1" si="3"/>
        <v>Success</v>
      </c>
    </row>
    <row r="167" spans="1:11" ht="16">
      <c r="A167" s="1" t="s">
        <v>186</v>
      </c>
      <c r="B167" s="7" t="s">
        <v>14</v>
      </c>
      <c r="C167" s="8">
        <v>70.16</v>
      </c>
      <c r="D167" s="8" t="s">
        <v>15</v>
      </c>
      <c r="E167" s="8">
        <v>64.48</v>
      </c>
      <c r="F167" s="8">
        <f ca="1">IFERROR(__xludf.DUMMYFUNCTION("INDEX(GOOGLEFINANCE(A167, ""open"", DATE(2025,2,3), DATE(2025,2,3)), 2, 2)"),65.33)</f>
        <v>65.33</v>
      </c>
      <c r="G167" s="8">
        <f ca="1">IFERROR(__xludf.DUMMYFUNCTION("INDEX(GOOGLEFINANCE(A167, ""close"", DATE(2025,2,7), DATE(2025,2,7)), 2, 2)"),67.6)</f>
        <v>67.599999999999994</v>
      </c>
      <c r="H167" s="9">
        <f t="shared" ca="1" si="0"/>
        <v>3.474667074850752</v>
      </c>
      <c r="I167" s="10">
        <f t="shared" ca="1" si="1"/>
        <v>34.746670748507519</v>
      </c>
      <c r="J167" s="10" t="str">
        <f t="shared" si="2"/>
        <v>Put Spread</v>
      </c>
      <c r="K167" s="10" t="str">
        <f t="shared" ca="1" si="3"/>
        <v>Success</v>
      </c>
    </row>
    <row r="168" spans="1:11" ht="16">
      <c r="A168" s="1" t="s">
        <v>187</v>
      </c>
      <c r="B168" s="7" t="s">
        <v>14</v>
      </c>
      <c r="C168" s="8">
        <v>34.68</v>
      </c>
      <c r="D168" s="8" t="s">
        <v>15</v>
      </c>
      <c r="E168" s="8">
        <v>32.64</v>
      </c>
      <c r="F168" s="8">
        <f ca="1">IFERROR(__xludf.DUMMYFUNCTION("INDEX(GOOGLEFINANCE(A168, ""open"", DATE(2025,2,3), DATE(2025,2,3)), 2, 2)"),33.11)</f>
        <v>33.11</v>
      </c>
      <c r="G168" s="8">
        <f ca="1">IFERROR(__xludf.DUMMYFUNCTION("INDEX(GOOGLEFINANCE(A168, ""close"", DATE(2025,2,7), DATE(2025,2,7)), 2, 2)"),34.37)</f>
        <v>34.369999999999997</v>
      </c>
      <c r="H168" s="9">
        <f t="shared" ca="1" si="0"/>
        <v>3.8054968287526365</v>
      </c>
      <c r="I168" s="10">
        <f t="shared" ca="1" si="1"/>
        <v>38.054968287526364</v>
      </c>
      <c r="J168" s="10" t="str">
        <f t="shared" si="2"/>
        <v>Put Spread</v>
      </c>
      <c r="K168" s="10" t="str">
        <f t="shared" ca="1" si="3"/>
        <v>Success</v>
      </c>
    </row>
    <row r="169" spans="1:11" ht="16">
      <c r="A169" s="1" t="s">
        <v>188</v>
      </c>
      <c r="B169" s="7" t="s">
        <v>14</v>
      </c>
      <c r="C169" s="8">
        <v>242.71</v>
      </c>
      <c r="D169" s="8" t="s">
        <v>15</v>
      </c>
      <c r="E169" s="8">
        <v>230.33</v>
      </c>
      <c r="F169" s="8">
        <f ca="1">IFERROR(__xludf.DUMMYFUNCTION("INDEX(GOOGLEFINANCE(A169, ""open"", DATE(2025,2,3), DATE(2025,2,3)), 2, 2)"),239.8)</f>
        <v>239.8</v>
      </c>
      <c r="G169" s="8">
        <f ca="1">IFERROR(__xludf.DUMMYFUNCTION("INDEX(GOOGLEFINANCE(A169, ""close"", DATE(2025,2,7), DATE(2025,2,7)), 2, 2)"),244.83)</f>
        <v>244.83</v>
      </c>
      <c r="H169" s="9">
        <f t="shared" ca="1" si="0"/>
        <v>2.0975813177648046</v>
      </c>
      <c r="I169" s="10">
        <f t="shared" ca="1" si="1"/>
        <v>20.975813177648046</v>
      </c>
      <c r="J169" s="10" t="str">
        <f t="shared" si="2"/>
        <v>Put Spread</v>
      </c>
      <c r="K169" s="10" t="str">
        <f t="shared" ca="1" si="3"/>
        <v>Success</v>
      </c>
    </row>
    <row r="170" spans="1:11" ht="16">
      <c r="A170" s="1" t="s">
        <v>189</v>
      </c>
      <c r="B170" s="7" t="s">
        <v>38</v>
      </c>
      <c r="C170" s="8">
        <v>55.36</v>
      </c>
      <c r="D170" s="8" t="s">
        <v>39</v>
      </c>
      <c r="E170" s="8">
        <v>61.34</v>
      </c>
      <c r="F170" s="8">
        <f ca="1">IFERROR(__xludf.DUMMYFUNCTION("INDEX(GOOGLEFINANCE(A170, ""open"", DATE(2025,2,3), DATE(2025,2,3)), 2, 2)"),56.36)</f>
        <v>56.36</v>
      </c>
      <c r="G170" s="8">
        <f ca="1">IFERROR(__xludf.DUMMYFUNCTION("INDEX(GOOGLEFINANCE(A170, ""close"", DATE(2025,2,7), DATE(2025,2,7)), 2, 2)"),57.27)</f>
        <v>57.27</v>
      </c>
      <c r="H170" s="9">
        <f t="shared" ca="1" si="0"/>
        <v>-1.6146202980837538</v>
      </c>
      <c r="I170" s="10">
        <f t="shared" ca="1" si="1"/>
        <v>-16.14620298083754</v>
      </c>
      <c r="J170" s="10" t="str">
        <f t="shared" si="2"/>
        <v>Call Spread</v>
      </c>
      <c r="K170" s="10" t="str">
        <f t="shared" ca="1" si="3"/>
        <v>Success</v>
      </c>
    </row>
    <row r="171" spans="1:11" ht="16">
      <c r="A171" s="1" t="s">
        <v>190</v>
      </c>
      <c r="B171" s="7" t="s">
        <v>14</v>
      </c>
      <c r="C171" s="8">
        <v>369.38</v>
      </c>
      <c r="D171" s="8" t="s">
        <v>15</v>
      </c>
      <c r="E171" s="8">
        <v>343.12</v>
      </c>
      <c r="F171" s="8">
        <f ca="1">IFERROR(__xludf.DUMMYFUNCTION("INDEX(GOOGLEFINANCE(A171, ""open"", DATE(2025,2,3), DATE(2025,2,3)), 2, 2)"),348.59)</f>
        <v>348.59</v>
      </c>
      <c r="G171" s="8">
        <f ca="1">IFERROR(__xludf.DUMMYFUNCTION("INDEX(GOOGLEFINANCE(A171, ""close"", DATE(2025,2,7), DATE(2025,2,7)), 2, 2)"),371.86)</f>
        <v>371.86</v>
      </c>
      <c r="H171" s="9">
        <f t="shared" ca="1" si="0"/>
        <v>6.6754640121632987</v>
      </c>
      <c r="I171" s="10">
        <f t="shared" ca="1" si="1"/>
        <v>66.754640121632988</v>
      </c>
      <c r="J171" s="10" t="str">
        <f t="shared" si="2"/>
        <v>Put Spread</v>
      </c>
      <c r="K171" s="10" t="str">
        <f t="shared" ca="1" si="3"/>
        <v>Success</v>
      </c>
    </row>
    <row r="172" spans="1:11" ht="16">
      <c r="A172" s="1" t="s">
        <v>191</v>
      </c>
      <c r="B172" s="7" t="s">
        <v>38</v>
      </c>
      <c r="C172" s="8">
        <v>60.54</v>
      </c>
      <c r="D172" s="8" t="s">
        <v>39</v>
      </c>
      <c r="E172" s="8">
        <v>67.52</v>
      </c>
      <c r="F172" s="8">
        <f ca="1">IFERROR(__xludf.DUMMYFUNCTION("INDEX(GOOGLEFINANCE(A172, ""open"", DATE(2025,2,3), DATE(2025,2,3)), 2, 2)"),63.8)</f>
        <v>63.8</v>
      </c>
      <c r="G172" s="8">
        <f ca="1">IFERROR(__xludf.DUMMYFUNCTION("INDEX(GOOGLEFINANCE(A172, ""close"", DATE(2025,2,7), DATE(2025,2,7)), 2, 2)"),58.94)</f>
        <v>58.94</v>
      </c>
      <c r="H172" s="9">
        <f t="shared" ca="1" si="0"/>
        <v>7.6175548589341684</v>
      </c>
      <c r="I172" s="10">
        <f t="shared" ca="1" si="1"/>
        <v>76.175548589341687</v>
      </c>
      <c r="J172" s="10" t="str">
        <f t="shared" si="2"/>
        <v>Call Spread</v>
      </c>
      <c r="K172" s="10" t="str">
        <f t="shared" ca="1" si="3"/>
        <v>Success</v>
      </c>
    </row>
    <row r="173" spans="1:11" ht="16">
      <c r="A173" s="1" t="s">
        <v>192</v>
      </c>
      <c r="B173" s="7" t="s">
        <v>14</v>
      </c>
      <c r="C173" s="8">
        <v>30.29</v>
      </c>
      <c r="D173" s="8" t="s">
        <v>15</v>
      </c>
      <c r="E173" s="8">
        <v>26.97</v>
      </c>
      <c r="F173" s="8">
        <f ca="1">IFERROR(__xludf.DUMMYFUNCTION("INDEX(GOOGLEFINANCE(A173, ""open"", DATE(2025,2,3), DATE(2025,2,3)), 2, 2)"),28.45)</f>
        <v>28.45</v>
      </c>
      <c r="G173" s="8">
        <f ca="1">IFERROR(__xludf.DUMMYFUNCTION("INDEX(GOOGLEFINANCE(A173, ""close"", DATE(2025,2,7), DATE(2025,2,7)), 2, 2)"),31.04)</f>
        <v>31.04</v>
      </c>
      <c r="H173" s="9">
        <f t="shared" ca="1" si="0"/>
        <v>9.1036906854130049</v>
      </c>
      <c r="I173" s="10">
        <f t="shared" ca="1" si="1"/>
        <v>91.036906854130052</v>
      </c>
      <c r="J173" s="10" t="str">
        <f t="shared" si="2"/>
        <v>Put Spread</v>
      </c>
      <c r="K173" s="10" t="str">
        <f t="shared" ca="1" si="3"/>
        <v>Success</v>
      </c>
    </row>
    <row r="174" spans="1:11" ht="16">
      <c r="A174" s="1" t="s">
        <v>193</v>
      </c>
      <c r="B174" s="7" t="s">
        <v>14</v>
      </c>
      <c r="C174" s="8">
        <v>59.23</v>
      </c>
      <c r="D174" s="8" t="s">
        <v>15</v>
      </c>
      <c r="E174" s="8">
        <v>53.65</v>
      </c>
      <c r="F174" s="8">
        <f ca="1">IFERROR(__xludf.DUMMYFUNCTION("INDEX(GOOGLEFINANCE(A174, ""open"", DATE(2025,2,3), DATE(2025,2,3)), 2, 2)"),55)</f>
        <v>55</v>
      </c>
      <c r="G174" s="8">
        <f ca="1">IFERROR(__xludf.DUMMYFUNCTION("INDEX(GOOGLEFINANCE(A174, ""close"", DATE(2025,2,7), DATE(2025,2,7)), 2, 2)"),54.6)</f>
        <v>54.6</v>
      </c>
      <c r="H174" s="9">
        <f t="shared" ca="1" si="0"/>
        <v>-0.72727272727272463</v>
      </c>
      <c r="I174" s="10">
        <f t="shared" ca="1" si="1"/>
        <v>-7.2727272727272467</v>
      </c>
      <c r="J174" s="10" t="str">
        <f t="shared" si="2"/>
        <v>Put Spread</v>
      </c>
      <c r="K174" s="10" t="str">
        <f t="shared" ca="1" si="3"/>
        <v>Success</v>
      </c>
    </row>
    <row r="175" spans="1:11" ht="16">
      <c r="A175" s="1" t="s">
        <v>194</v>
      </c>
      <c r="B175" s="7" t="s">
        <v>14</v>
      </c>
      <c r="C175" s="8">
        <v>211.98</v>
      </c>
      <c r="D175" s="8" t="s">
        <v>15</v>
      </c>
      <c r="E175" s="8">
        <v>195.44</v>
      </c>
      <c r="F175" s="8">
        <f ca="1">IFERROR(__xludf.DUMMYFUNCTION("INDEX(GOOGLEFINANCE(A175, ""open"", DATE(2025,2,3), DATE(2025,2,3)), 2, 2)"),199.74)</f>
        <v>199.74</v>
      </c>
      <c r="G175" s="8">
        <f ca="1">IFERROR(__xludf.DUMMYFUNCTION("INDEX(GOOGLEFINANCE(A175, ""close"", DATE(2025,2,7), DATE(2025,2,7)), 2, 2)"),203.21)</f>
        <v>203.21</v>
      </c>
      <c r="H175" s="9">
        <f t="shared" ca="1" si="0"/>
        <v>1.7372584359667562</v>
      </c>
      <c r="I175" s="10">
        <f t="shared" ca="1" si="1"/>
        <v>17.372584359667563</v>
      </c>
      <c r="J175" s="10" t="str">
        <f t="shared" si="2"/>
        <v>Put Spread</v>
      </c>
      <c r="K175" s="10" t="str">
        <f t="shared" ca="1" si="3"/>
        <v>Success</v>
      </c>
    </row>
    <row r="176" spans="1:11" ht="16">
      <c r="A176" s="1" t="s">
        <v>195</v>
      </c>
      <c r="B176" s="7" t="s">
        <v>14</v>
      </c>
      <c r="C176" s="8">
        <v>100.19</v>
      </c>
      <c r="D176" s="8" t="s">
        <v>15</v>
      </c>
      <c r="E176" s="8">
        <v>80.790000000000006</v>
      </c>
      <c r="F176" s="8">
        <f ca="1">IFERROR(__xludf.DUMMYFUNCTION("INDEX(GOOGLEFINANCE(A176, ""open"", DATE(2025,2,3), DATE(2025,2,3)), 2, 2)"),84.43)</f>
        <v>84.43</v>
      </c>
      <c r="G176" s="8">
        <f ca="1">IFERROR(__xludf.DUMMYFUNCTION("INDEX(GOOGLEFINANCE(A176, ""close"", DATE(2025,2,7), DATE(2025,2,7)), 2, 2)"),95.89)</f>
        <v>95.89</v>
      </c>
      <c r="H176" s="9">
        <f t="shared" ca="1" si="0"/>
        <v>13.573374392988265</v>
      </c>
      <c r="I176" s="10">
        <f t="shared" ca="1" si="1"/>
        <v>135.73374392988265</v>
      </c>
      <c r="J176" s="10" t="str">
        <f t="shared" si="2"/>
        <v>Put Spread</v>
      </c>
      <c r="K176" s="10" t="str">
        <f t="shared" ca="1" si="3"/>
        <v>Success</v>
      </c>
    </row>
    <row r="177" spans="1:11" ht="16">
      <c r="A177" s="1" t="s">
        <v>196</v>
      </c>
      <c r="B177" s="7" t="s">
        <v>14</v>
      </c>
      <c r="C177" s="8">
        <v>322.5</v>
      </c>
      <c r="D177" s="8" t="s">
        <v>15</v>
      </c>
      <c r="E177" s="8">
        <v>260.16000000000003</v>
      </c>
      <c r="F177" s="8">
        <f ca="1">IFERROR(__xludf.DUMMYFUNCTION("INDEX(GOOGLEFINANCE(A177, ""open"", DATE(2025,2,3), DATE(2025,2,3)), 2, 2)"),272.98)</f>
        <v>272.98</v>
      </c>
      <c r="G177" s="8">
        <f ca="1">IFERROR(__xludf.DUMMYFUNCTION("INDEX(GOOGLEFINANCE(A177, ""close"", DATE(2025,2,7), DATE(2025,2,7)), 2, 2)"),274.49)</f>
        <v>274.49</v>
      </c>
      <c r="H177" s="9">
        <f t="shared" ca="1" si="0"/>
        <v>0.55315407722177112</v>
      </c>
      <c r="I177" s="10">
        <f t="shared" ca="1" si="1"/>
        <v>5.5315407722177108</v>
      </c>
      <c r="J177" s="10" t="str">
        <f t="shared" si="2"/>
        <v>Put Spread</v>
      </c>
      <c r="K177" s="10" t="str">
        <f t="shared" ca="1" si="3"/>
        <v>Success</v>
      </c>
    </row>
    <row r="178" spans="1:11" ht="16">
      <c r="A178" s="1" t="s">
        <v>197</v>
      </c>
      <c r="B178" s="7" t="s">
        <v>14</v>
      </c>
      <c r="C178" s="8">
        <v>56.33</v>
      </c>
      <c r="D178" s="8" t="s">
        <v>15</v>
      </c>
      <c r="E178" s="8">
        <v>36.25</v>
      </c>
      <c r="F178" s="8">
        <f ca="1">IFERROR(__xludf.DUMMYFUNCTION("INDEX(GOOGLEFINANCE(A178, ""open"", DATE(2025,2,3), DATE(2025,2,3)), 2, 2)"),40.15)</f>
        <v>40.15</v>
      </c>
      <c r="G178" s="8">
        <f ca="1">IFERROR(__xludf.DUMMYFUNCTION("INDEX(GOOGLEFINANCE(A178, ""close"", DATE(2025,2,7), DATE(2025,2,7)), 2, 2)"),40.83)</f>
        <v>40.83</v>
      </c>
      <c r="H178" s="9">
        <f t="shared" ca="1" si="0"/>
        <v>1.6936488169364876</v>
      </c>
      <c r="I178" s="10">
        <f t="shared" ca="1" si="1"/>
        <v>16.936488169364878</v>
      </c>
      <c r="J178" s="10" t="str">
        <f t="shared" si="2"/>
        <v>Put Spread</v>
      </c>
      <c r="K178" s="10" t="str">
        <f t="shared" ca="1" si="3"/>
        <v>Success</v>
      </c>
    </row>
    <row r="179" spans="1:11" ht="16">
      <c r="A179" s="1" t="s">
        <v>198</v>
      </c>
      <c r="B179" s="7" t="s">
        <v>14</v>
      </c>
      <c r="C179" s="8">
        <v>14.45</v>
      </c>
      <c r="D179" s="8" t="s">
        <v>15</v>
      </c>
      <c r="E179" s="8">
        <v>13.05</v>
      </c>
      <c r="F179" s="8">
        <f ca="1">IFERROR(__xludf.DUMMYFUNCTION("INDEX(GOOGLEFINANCE(A179, ""open"", DATE(2025,2,3), DATE(2025,2,3)), 2, 2)"),13)</f>
        <v>13</v>
      </c>
      <c r="G179" s="8">
        <f ca="1">IFERROR(__xludf.DUMMYFUNCTION("INDEX(GOOGLEFINANCE(A179, ""close"", DATE(2025,2,7), DATE(2025,2,7)), 2, 2)"),12.05)</f>
        <v>12.05</v>
      </c>
      <c r="H179" s="9">
        <f t="shared" ca="1" si="0"/>
        <v>-7.3076923076923022</v>
      </c>
      <c r="I179" s="10">
        <f t="shared" ca="1" si="1"/>
        <v>-73.076923076923023</v>
      </c>
      <c r="J179" s="10" t="str">
        <f t="shared" si="2"/>
        <v>Put Spread</v>
      </c>
      <c r="K179" s="10" t="str">
        <f t="shared" ca="1" si="3"/>
        <v>No</v>
      </c>
    </row>
    <row r="180" spans="1:11" ht="16">
      <c r="A180" s="1" t="s">
        <v>199</v>
      </c>
      <c r="B180" s="7" t="s">
        <v>38</v>
      </c>
      <c r="C180" s="8">
        <v>95.82</v>
      </c>
      <c r="D180" s="8" t="s">
        <v>39</v>
      </c>
      <c r="E180" s="8">
        <v>101.84</v>
      </c>
      <c r="F180" s="8">
        <f ca="1">IFERROR(__xludf.DUMMYFUNCTION("INDEX(GOOGLEFINANCE(A180, ""open"", DATE(2025,2,3), DATE(2025,2,3)), 2, 2)"),98.75)</f>
        <v>98.75</v>
      </c>
      <c r="G180" s="8">
        <f ca="1">IFERROR(__xludf.DUMMYFUNCTION("INDEX(GOOGLEFINANCE(A180, ""close"", DATE(2025,2,7), DATE(2025,2,7)), 2, 2)"),98.36)</f>
        <v>98.36</v>
      </c>
      <c r="H180" s="9">
        <f t="shared" ca="1" si="0"/>
        <v>0.3949367088607601</v>
      </c>
      <c r="I180" s="10">
        <f t="shared" ca="1" si="1"/>
        <v>3.9493670886076013</v>
      </c>
      <c r="J180" s="10" t="str">
        <f t="shared" si="2"/>
        <v>Call Spread</v>
      </c>
      <c r="K180" s="10" t="str">
        <f t="shared" ca="1" si="3"/>
        <v>Success</v>
      </c>
    </row>
    <row r="181" spans="1:11" ht="16">
      <c r="A181" s="1" t="s">
        <v>200</v>
      </c>
      <c r="B181" s="7" t="s">
        <v>38</v>
      </c>
      <c r="C181" s="8">
        <v>36.47</v>
      </c>
      <c r="D181" s="8" t="s">
        <v>39</v>
      </c>
      <c r="E181" s="8">
        <v>39.89</v>
      </c>
      <c r="F181" s="8">
        <f ca="1">IFERROR(__xludf.DUMMYFUNCTION("INDEX(GOOGLEFINANCE(A181, ""open"", DATE(2025,2,3), DATE(2025,2,3)), 2, 2)"),37.55)</f>
        <v>37.549999999999997</v>
      </c>
      <c r="G181" s="8">
        <f ca="1">IFERROR(__xludf.DUMMYFUNCTION("INDEX(GOOGLEFINANCE(A181, ""close"", DATE(2025,2,7), DATE(2025,2,7)), 2, 2)"),41.17)</f>
        <v>41.17</v>
      </c>
      <c r="H181" s="9">
        <f t="shared" ca="1" si="0"/>
        <v>-9.6404793608522095</v>
      </c>
      <c r="I181" s="10">
        <f t="shared" ca="1" si="1"/>
        <v>-96.404793608522084</v>
      </c>
      <c r="J181" s="10" t="str">
        <f t="shared" si="2"/>
        <v>Call Spread</v>
      </c>
      <c r="K181" s="10" t="str">
        <f t="shared" ca="1" si="3"/>
        <v>No</v>
      </c>
    </row>
    <row r="182" spans="1:11" ht="16">
      <c r="A182" s="1" t="s">
        <v>201</v>
      </c>
      <c r="B182" s="7" t="s">
        <v>14</v>
      </c>
      <c r="C182" s="8">
        <v>73.62</v>
      </c>
      <c r="D182" s="8" t="s">
        <v>15</v>
      </c>
      <c r="E182" s="8">
        <v>60.22</v>
      </c>
      <c r="F182" s="8">
        <f ca="1">IFERROR(__xludf.DUMMYFUNCTION("INDEX(GOOGLEFINANCE(A182, ""open"", DATE(2025,2,3), DATE(2025,2,3)), 2, 2)"),65.1)</f>
        <v>65.099999999999994</v>
      </c>
      <c r="G182" s="8">
        <f ca="1">IFERROR(__xludf.DUMMYFUNCTION("INDEX(GOOGLEFINANCE(A182, ""close"", DATE(2025,2,7), DATE(2025,2,7)), 2, 2)"),68.01)</f>
        <v>68.010000000000005</v>
      </c>
      <c r="H182" s="9">
        <f t="shared" ca="1" si="0"/>
        <v>4.4700460829493256</v>
      </c>
      <c r="I182" s="10">
        <f t="shared" ca="1" si="1"/>
        <v>44.700460829493259</v>
      </c>
      <c r="J182" s="10" t="str">
        <f t="shared" si="2"/>
        <v>Put Spread</v>
      </c>
      <c r="K182" s="10" t="str">
        <f t="shared" ca="1" si="3"/>
        <v>Success</v>
      </c>
    </row>
    <row r="183" spans="1:11" ht="16">
      <c r="A183" s="1" t="s">
        <v>202</v>
      </c>
      <c r="B183" s="7" t="s">
        <v>14</v>
      </c>
      <c r="C183" s="8">
        <v>1012.36</v>
      </c>
      <c r="D183" s="8" t="s">
        <v>15</v>
      </c>
      <c r="E183" s="8">
        <v>947.4</v>
      </c>
      <c r="F183" s="8">
        <f ca="1">IFERROR(__xludf.DUMMYFUNCTION("INDEX(GOOGLEFINANCE(A183, ""open"", DATE(2025,2,3), DATE(2025,2,3)), 2, 2)"),972.39)</f>
        <v>972.39</v>
      </c>
      <c r="G183" s="8">
        <f ca="1">IFERROR(__xludf.DUMMYFUNCTION("INDEX(GOOGLEFINANCE(A183, ""close"", DATE(2025,2,7), DATE(2025,2,7)), 2, 2)"),1043.81)</f>
        <v>1043.81</v>
      </c>
      <c r="H183" s="9">
        <f t="shared" ca="1" si="0"/>
        <v>7.3447896420160603</v>
      </c>
      <c r="I183" s="10">
        <f t="shared" ca="1" si="1"/>
        <v>73.447896420160603</v>
      </c>
      <c r="J183" s="10" t="str">
        <f t="shared" si="2"/>
        <v>Put Spread</v>
      </c>
      <c r="K183" s="10" t="str">
        <f t="shared" ca="1" si="3"/>
        <v>Success</v>
      </c>
    </row>
    <row r="184" spans="1:11" ht="16">
      <c r="A184" s="1" t="s">
        <v>203</v>
      </c>
      <c r="B184" s="7" t="s">
        <v>14</v>
      </c>
      <c r="C184" s="8">
        <v>7.75</v>
      </c>
      <c r="D184" s="8" t="s">
        <v>15</v>
      </c>
      <c r="E184" s="8">
        <v>6.91</v>
      </c>
      <c r="F184" s="8">
        <f ca="1">IFERROR(__xludf.DUMMYFUNCTION("INDEX(GOOGLEFINANCE(A184, ""open"", DATE(2025,2,3), DATE(2025,2,3)), 2, 2)"),7.15)</f>
        <v>7.15</v>
      </c>
      <c r="G184" s="8">
        <f ca="1">IFERROR(__xludf.DUMMYFUNCTION("INDEX(GOOGLEFINANCE(A184, ""close"", DATE(2025,2,7), DATE(2025,2,7)), 2, 2)"),6.76)</f>
        <v>6.76</v>
      </c>
      <c r="H184" s="9">
        <f t="shared" ca="1" si="0"/>
        <v>-5.4545454545454621</v>
      </c>
      <c r="I184" s="10">
        <f t="shared" ca="1" si="1"/>
        <v>-54.545454545454625</v>
      </c>
      <c r="J184" s="10" t="str">
        <f t="shared" si="2"/>
        <v>Put Spread</v>
      </c>
      <c r="K184" s="10" t="str">
        <f t="shared" ca="1" si="3"/>
        <v>No</v>
      </c>
    </row>
    <row r="185" spans="1:11" ht="16">
      <c r="A185" s="1" t="s">
        <v>204</v>
      </c>
      <c r="B185" s="7" t="s">
        <v>14</v>
      </c>
      <c r="C185" s="8">
        <v>8.24</v>
      </c>
      <c r="D185" s="8" t="s">
        <v>15</v>
      </c>
      <c r="E185" s="8">
        <v>7.18</v>
      </c>
      <c r="F185" s="8">
        <f ca="1">IFERROR(__xludf.DUMMYFUNCTION("INDEX(GOOGLEFINANCE(A185, ""open"", DATE(2025,2,3), DATE(2025,2,3)), 2, 2)"),7.48)</f>
        <v>7.48</v>
      </c>
      <c r="G185" s="8">
        <f ca="1">IFERROR(__xludf.DUMMYFUNCTION("INDEX(GOOGLEFINANCE(A185, ""close"", DATE(2025,2,7), DATE(2025,2,7)), 2, 2)"),8.04)</f>
        <v>8.0399999999999991</v>
      </c>
      <c r="H185" s="9">
        <f t="shared" ca="1" si="0"/>
        <v>7.4866310160427636</v>
      </c>
      <c r="I185" s="10">
        <f t="shared" ca="1" si="1"/>
        <v>74.866310160427645</v>
      </c>
      <c r="J185" s="10" t="str">
        <f t="shared" si="2"/>
        <v>Put Spread</v>
      </c>
      <c r="K185" s="10" t="str">
        <f t="shared" ca="1" si="3"/>
        <v>Success</v>
      </c>
    </row>
    <row r="186" spans="1:11" ht="16">
      <c r="A186" s="1" t="s">
        <v>205</v>
      </c>
      <c r="B186" s="7" t="s">
        <v>38</v>
      </c>
      <c r="C186" s="8">
        <v>37.18</v>
      </c>
      <c r="D186" s="8" t="s">
        <v>39</v>
      </c>
      <c r="E186" s="8">
        <v>40.36</v>
      </c>
      <c r="F186" s="8">
        <f ca="1">IFERROR(__xludf.DUMMYFUNCTION("INDEX(GOOGLEFINANCE(A186, ""open"", DATE(2025,2,3), DATE(2025,2,3)), 2, 2)"),38.63)</f>
        <v>38.630000000000003</v>
      </c>
      <c r="G186" s="8">
        <f ca="1">IFERROR(__xludf.DUMMYFUNCTION("INDEX(GOOGLEFINANCE(A186, ""close"", DATE(2025,2,7), DATE(2025,2,7)), 2, 2)"),37.53)</f>
        <v>37.53</v>
      </c>
      <c r="H186" s="9">
        <f t="shared" ca="1" si="0"/>
        <v>2.8475278281128693</v>
      </c>
      <c r="I186" s="10">
        <f t="shared" ca="1" si="1"/>
        <v>28.475278281128695</v>
      </c>
      <c r="J186" s="10" t="str">
        <f t="shared" si="2"/>
        <v>Call Spread</v>
      </c>
      <c r="K186" s="10" t="str">
        <f t="shared" ca="1" si="3"/>
        <v>Success</v>
      </c>
    </row>
    <row r="187" spans="1:11" ht="16">
      <c r="A187" s="1" t="s">
        <v>206</v>
      </c>
      <c r="B187" s="7" t="s">
        <v>14</v>
      </c>
      <c r="C187" s="8">
        <v>24.78</v>
      </c>
      <c r="D187" s="8" t="s">
        <v>15</v>
      </c>
      <c r="E187" s="8">
        <v>22.24</v>
      </c>
      <c r="F187" s="8">
        <f ca="1">IFERROR(__xludf.DUMMYFUNCTION("INDEX(GOOGLEFINANCE(A187, ""open"", DATE(2025,2,3), DATE(2025,2,3)), 2, 2)"),22.98)</f>
        <v>22.98</v>
      </c>
      <c r="G187" s="8">
        <f ca="1">IFERROR(__xludf.DUMMYFUNCTION("INDEX(GOOGLEFINANCE(A187, ""close"", DATE(2025,2,7), DATE(2025,2,7)), 2, 2)"),23.65)</f>
        <v>23.65</v>
      </c>
      <c r="H187" s="9">
        <f t="shared" ca="1" si="0"/>
        <v>2.9155787641427247</v>
      </c>
      <c r="I187" s="10">
        <f t="shared" ca="1" si="1"/>
        <v>29.155787641427246</v>
      </c>
      <c r="J187" s="10" t="str">
        <f t="shared" si="2"/>
        <v>Put Spread</v>
      </c>
      <c r="K187" s="10" t="str">
        <f t="shared" ca="1" si="3"/>
        <v>Success</v>
      </c>
    </row>
    <row r="188" spans="1:11" ht="16">
      <c r="A188" s="1" t="s">
        <v>207</v>
      </c>
      <c r="B188" s="7" t="s">
        <v>14</v>
      </c>
      <c r="C188" s="8">
        <v>26.78</v>
      </c>
      <c r="D188" s="8" t="s">
        <v>15</v>
      </c>
      <c r="E188" s="8">
        <v>22.78</v>
      </c>
      <c r="F188" s="8">
        <f ca="1">IFERROR(__xludf.DUMMYFUNCTION("INDEX(GOOGLEFINANCE(A188, ""open"", DATE(2025,2,3), DATE(2025,2,3)), 2, 2)"),24.2)</f>
        <v>24.2</v>
      </c>
      <c r="G188" s="8">
        <f ca="1">IFERROR(__xludf.DUMMYFUNCTION("INDEX(GOOGLEFINANCE(A188, ""close"", DATE(2025,2,7), DATE(2025,2,7)), 2, 2)"),21.69)</f>
        <v>21.69</v>
      </c>
      <c r="H188" s="9">
        <f t="shared" ca="1" si="0"/>
        <v>-10.371900826446273</v>
      </c>
      <c r="I188" s="10">
        <f t="shared" ca="1" si="1"/>
        <v>-103.71900826446273</v>
      </c>
      <c r="J188" s="10" t="str">
        <f t="shared" si="2"/>
        <v>Put Spread</v>
      </c>
      <c r="K188" s="10" t="str">
        <f t="shared" ca="1" si="3"/>
        <v>No</v>
      </c>
    </row>
    <row r="189" spans="1:11" ht="16">
      <c r="A189" s="1" t="s">
        <v>208</v>
      </c>
      <c r="B189" s="7" t="s">
        <v>14</v>
      </c>
      <c r="C189" s="8">
        <v>35.26</v>
      </c>
      <c r="D189" s="8" t="s">
        <v>15</v>
      </c>
      <c r="E189" s="8">
        <v>32.26</v>
      </c>
      <c r="F189" s="8">
        <f ca="1">IFERROR(__xludf.DUMMYFUNCTION("INDEX(GOOGLEFINANCE(A189, ""open"", DATE(2025,2,3), DATE(2025,2,3)), 2, 2)"),32.59)</f>
        <v>32.590000000000003</v>
      </c>
      <c r="G189" s="8">
        <f ca="1">IFERROR(__xludf.DUMMYFUNCTION("INDEX(GOOGLEFINANCE(A189, ""close"", DATE(2025,2,7), DATE(2025,2,7)), 2, 2)"),33.45)</f>
        <v>33.450000000000003</v>
      </c>
      <c r="H189" s="9">
        <f t="shared" ca="1" si="0"/>
        <v>2.6388462718625325</v>
      </c>
      <c r="I189" s="10">
        <f t="shared" ca="1" si="1"/>
        <v>26.388462718625323</v>
      </c>
      <c r="J189" s="10" t="str">
        <f t="shared" si="2"/>
        <v>Put Spread</v>
      </c>
      <c r="K189" s="10" t="str">
        <f t="shared" ca="1" si="3"/>
        <v>Success</v>
      </c>
    </row>
    <row r="190" spans="1:11" ht="16">
      <c r="A190" s="1" t="s">
        <v>209</v>
      </c>
      <c r="B190" s="7" t="s">
        <v>14</v>
      </c>
      <c r="C190" s="8">
        <v>361.14</v>
      </c>
      <c r="D190" s="8" t="s">
        <v>15</v>
      </c>
      <c r="E190" s="8">
        <v>322.26</v>
      </c>
      <c r="F190" s="8">
        <f ca="1">IFERROR(__xludf.DUMMYFUNCTION("INDEX(GOOGLEFINANCE(A190, ""open"", DATE(2025,2,3), DATE(2025,2,3)), 2, 2)"),335.97)</f>
        <v>335.97</v>
      </c>
      <c r="G190" s="8">
        <f ca="1">IFERROR(__xludf.DUMMYFUNCTION("INDEX(GOOGLEFINANCE(A190, ""close"", DATE(2025,2,7), DATE(2025,2,7)), 2, 2)"),325.83)</f>
        <v>325.83</v>
      </c>
      <c r="H190" s="9">
        <f t="shared" ca="1" si="0"/>
        <v>-3.0181266184480884</v>
      </c>
      <c r="I190" s="10">
        <f t="shared" ca="1" si="1"/>
        <v>-30.181266184480883</v>
      </c>
      <c r="J190" s="10" t="str">
        <f t="shared" si="2"/>
        <v>Put Spread</v>
      </c>
      <c r="K190" s="10" t="str">
        <f t="shared" ca="1" si="3"/>
        <v>Success</v>
      </c>
    </row>
    <row r="191" spans="1:11" ht="16">
      <c r="A191" s="1" t="s">
        <v>210</v>
      </c>
      <c r="B191" s="7" t="s">
        <v>14</v>
      </c>
      <c r="C191" s="8">
        <v>2.06</v>
      </c>
      <c r="D191" s="8" t="s">
        <v>15</v>
      </c>
      <c r="E191" s="8">
        <v>1.74</v>
      </c>
      <c r="F191" s="8">
        <f ca="1">IFERROR(__xludf.DUMMYFUNCTION("INDEX(GOOGLEFINANCE(A191, ""open"", DATE(2025,2,3), DATE(2025,2,3)), 2, 2)"),1.86)</f>
        <v>1.86</v>
      </c>
      <c r="G191" s="8">
        <f ca="1">IFERROR(__xludf.DUMMYFUNCTION("INDEX(GOOGLEFINANCE(A191, ""close"", DATE(2025,2,7), DATE(2025,2,7)), 2, 2)"),1.93)</f>
        <v>1.93</v>
      </c>
      <c r="H191" s="9">
        <f t="shared" ca="1" si="0"/>
        <v>3.7634408602150451</v>
      </c>
      <c r="I191" s="10">
        <f t="shared" ca="1" si="1"/>
        <v>37.634408602150451</v>
      </c>
      <c r="J191" s="10" t="str">
        <f t="shared" si="2"/>
        <v>Put Spread</v>
      </c>
      <c r="K191" s="10" t="str">
        <f t="shared" ca="1" si="3"/>
        <v>Success</v>
      </c>
    </row>
    <row r="192" spans="1:11" ht="16">
      <c r="A192" s="1" t="s">
        <v>211</v>
      </c>
      <c r="B192" s="7" t="s">
        <v>38</v>
      </c>
      <c r="C192" s="8">
        <v>94.43</v>
      </c>
      <c r="D192" s="8" t="s">
        <v>39</v>
      </c>
      <c r="E192" s="8">
        <v>109.71</v>
      </c>
      <c r="F192" s="8">
        <f ca="1">IFERROR(__xludf.DUMMYFUNCTION("INDEX(GOOGLEFINANCE(A192, ""open"", DATE(2025,2,3), DATE(2025,2,3)), 2, 2)"),98.86)</f>
        <v>98.86</v>
      </c>
      <c r="G192" s="8">
        <f ca="1">IFERROR(__xludf.DUMMYFUNCTION("INDEX(GOOGLEFINANCE(A192, ""close"", DATE(2025,2,7), DATE(2025,2,7)), 2, 2)"),93.37)</f>
        <v>93.37</v>
      </c>
      <c r="H192" s="9">
        <f t="shared" ca="1" si="0"/>
        <v>5.5533077078697097</v>
      </c>
      <c r="I192" s="10">
        <f t="shared" ca="1" si="1"/>
        <v>55.533077078697097</v>
      </c>
      <c r="J192" s="10" t="str">
        <f t="shared" si="2"/>
        <v>Call Spread</v>
      </c>
      <c r="K192" s="10" t="str">
        <f t="shared" ca="1" si="3"/>
        <v>Success</v>
      </c>
    </row>
    <row r="193" spans="1:11" ht="16">
      <c r="A193" s="1" t="s">
        <v>212</v>
      </c>
      <c r="B193" s="7" t="s">
        <v>14</v>
      </c>
      <c r="C193" s="8">
        <v>44.94</v>
      </c>
      <c r="D193" s="8" t="s">
        <v>15</v>
      </c>
      <c r="E193" s="8">
        <v>38.24</v>
      </c>
      <c r="F193" s="8">
        <f ca="1">IFERROR(__xludf.DUMMYFUNCTION("INDEX(GOOGLEFINANCE(A193, ""open"", DATE(2025,2,3), DATE(2025,2,3)), 2, 2)"),40.19)</f>
        <v>40.19</v>
      </c>
      <c r="G193" s="8">
        <f ca="1">IFERROR(__xludf.DUMMYFUNCTION("INDEX(GOOGLEFINANCE(A193, ""close"", DATE(2025,2,7), DATE(2025,2,7)), 2, 2)"),39.71)</f>
        <v>39.71</v>
      </c>
      <c r="H193" s="9">
        <f t="shared" ca="1" si="0"/>
        <v>-1.1943269470017341</v>
      </c>
      <c r="I193" s="10">
        <f t="shared" ca="1" si="1"/>
        <v>-11.943269470017341</v>
      </c>
      <c r="J193" s="10" t="str">
        <f t="shared" si="2"/>
        <v>Put Spread</v>
      </c>
      <c r="K193" s="10" t="str">
        <f t="shared" ca="1" si="3"/>
        <v>Success</v>
      </c>
    </row>
    <row r="194" spans="1:11" ht="16">
      <c r="A194" s="1" t="s">
        <v>213</v>
      </c>
      <c r="B194" s="7" t="s">
        <v>14</v>
      </c>
      <c r="C194" s="8">
        <v>426.34</v>
      </c>
      <c r="D194" s="8" t="s">
        <v>15</v>
      </c>
      <c r="E194" s="8">
        <v>369.8</v>
      </c>
      <c r="F194" s="8">
        <f ca="1">IFERROR(__xludf.DUMMYFUNCTION("INDEX(GOOGLEFINANCE(A194, ""open"", DATE(2025,2,3), DATE(2025,2,3)), 2, 2)"),386.95)</f>
        <v>386.95</v>
      </c>
      <c r="G194" s="8">
        <f ca="1">IFERROR(__xludf.DUMMYFUNCTION("INDEX(GOOGLEFINANCE(A194, ""close"", DATE(2025,2,7), DATE(2025,2,7)), 2, 2)"),421.59)</f>
        <v>421.59</v>
      </c>
      <c r="H194" s="9">
        <f t="shared" ca="1" si="0"/>
        <v>8.9520609897919599</v>
      </c>
      <c r="I194" s="10">
        <f t="shared" ca="1" si="1"/>
        <v>89.520609897919599</v>
      </c>
      <c r="J194" s="10" t="str">
        <f t="shared" si="2"/>
        <v>Put Spread</v>
      </c>
      <c r="K194" s="10" t="str">
        <f t="shared" ca="1" si="3"/>
        <v>Success</v>
      </c>
    </row>
    <row r="195" spans="1:11" ht="16">
      <c r="A195" s="1" t="s">
        <v>214</v>
      </c>
      <c r="B195" s="7" t="s">
        <v>14</v>
      </c>
      <c r="C195" s="8">
        <v>63.11</v>
      </c>
      <c r="D195" s="8" t="s">
        <v>15</v>
      </c>
      <c r="E195" s="8">
        <v>58.09</v>
      </c>
      <c r="F195" s="8">
        <f ca="1">IFERROR(__xludf.DUMMYFUNCTION("INDEX(GOOGLEFINANCE(A195, ""open"", DATE(2025,2,3), DATE(2025,2,3)), 2, 2)"),60.19)</f>
        <v>60.19</v>
      </c>
      <c r="G195" s="8">
        <f ca="1">IFERROR(__xludf.DUMMYFUNCTION("INDEX(GOOGLEFINANCE(A195, ""close"", DATE(2025,2,7), DATE(2025,2,7)), 2, 2)"),62.27)</f>
        <v>62.27</v>
      </c>
      <c r="H195" s="9">
        <f t="shared" ca="1" si="0"/>
        <v>3.4557235421166399</v>
      </c>
      <c r="I195" s="10">
        <f t="shared" ca="1" si="1"/>
        <v>34.557235421166396</v>
      </c>
      <c r="J195" s="10" t="str">
        <f t="shared" si="2"/>
        <v>Put Spread</v>
      </c>
      <c r="K195" s="10" t="str">
        <f t="shared" ca="1" si="3"/>
        <v>Success</v>
      </c>
    </row>
    <row r="196" spans="1:11" ht="16">
      <c r="A196" s="1" t="s">
        <v>215</v>
      </c>
      <c r="B196" s="7" t="s">
        <v>14</v>
      </c>
      <c r="C196" s="8">
        <v>80.23</v>
      </c>
      <c r="D196" s="8" t="s">
        <v>15</v>
      </c>
      <c r="E196" s="8">
        <v>72.97</v>
      </c>
      <c r="F196" s="8">
        <f ca="1">IFERROR(__xludf.DUMMYFUNCTION("INDEX(GOOGLEFINANCE(A196, ""open"", DATE(2025,2,3), DATE(2025,2,3)), 2, 2)"),76.52)</f>
        <v>76.52</v>
      </c>
      <c r="G196" s="8">
        <f ca="1">IFERROR(__xludf.DUMMYFUNCTION("INDEX(GOOGLEFINANCE(A196, ""close"", DATE(2025,2,7), DATE(2025,2,7)), 2, 2)"),77.25)</f>
        <v>77.25</v>
      </c>
      <c r="H196" s="9">
        <f t="shared" ca="1" si="0"/>
        <v>0.95399895452169903</v>
      </c>
      <c r="I196" s="10">
        <f t="shared" ca="1" si="1"/>
        <v>9.5399895452169901</v>
      </c>
      <c r="J196" s="10" t="str">
        <f t="shared" si="2"/>
        <v>Put Spread</v>
      </c>
      <c r="K196" s="10" t="str">
        <f t="shared" ca="1" si="3"/>
        <v>Success</v>
      </c>
    </row>
    <row r="197" spans="1:11" ht="16">
      <c r="A197" s="1" t="s">
        <v>216</v>
      </c>
      <c r="B197" s="7" t="s">
        <v>14</v>
      </c>
      <c r="C197" s="8">
        <v>11.35</v>
      </c>
      <c r="D197" s="8" t="s">
        <v>15</v>
      </c>
      <c r="E197" s="8">
        <v>9.27</v>
      </c>
      <c r="F197" s="8">
        <f ca="1">IFERROR(__xludf.DUMMYFUNCTION("INDEX(GOOGLEFINANCE(A197, ""open"", DATE(2025,2,3), DATE(2025,2,3)), 2, 2)"),9.92)</f>
        <v>9.92</v>
      </c>
      <c r="G197" s="8">
        <f ca="1">IFERROR(__xludf.DUMMYFUNCTION("INDEX(GOOGLEFINANCE(A197, ""close"", DATE(2025,2,7), DATE(2025,2,7)), 2, 2)"),10.18)</f>
        <v>10.18</v>
      </c>
      <c r="H197" s="9">
        <f t="shared" ca="1" si="0"/>
        <v>2.6209677419354818</v>
      </c>
      <c r="I197" s="10">
        <f t="shared" ca="1" si="1"/>
        <v>26.209677419354815</v>
      </c>
      <c r="J197" s="10" t="str">
        <f t="shared" si="2"/>
        <v>Put Spread</v>
      </c>
      <c r="K197" s="10" t="str">
        <f t="shared" ca="1" si="3"/>
        <v>Success</v>
      </c>
    </row>
    <row r="198" spans="1:11" ht="16">
      <c r="A198" s="1" t="s">
        <v>217</v>
      </c>
      <c r="B198" s="7" t="s">
        <v>14</v>
      </c>
      <c r="C198" s="8">
        <v>33.729999999999997</v>
      </c>
      <c r="D198" s="8" t="s">
        <v>15</v>
      </c>
      <c r="E198" s="8">
        <v>32.01</v>
      </c>
      <c r="F198" s="8">
        <f ca="1">IFERROR(__xludf.DUMMYFUNCTION("INDEX(GOOGLEFINANCE(A198, ""open"", DATE(2025,2,3), DATE(2025,2,3)), 2, 2)"),32.48)</f>
        <v>32.479999999999997</v>
      </c>
      <c r="G198" s="8">
        <f ca="1">IFERROR(__xludf.DUMMYFUNCTION("INDEX(GOOGLEFINANCE(A198, ""close"", DATE(2025,2,7), DATE(2025,2,7)), 2, 2)"),32.59)</f>
        <v>32.590000000000003</v>
      </c>
      <c r="H198" s="9">
        <f t="shared" ca="1" si="0"/>
        <v>0.33866995073893641</v>
      </c>
      <c r="I198" s="10">
        <f t="shared" ca="1" si="1"/>
        <v>3.386699507389364</v>
      </c>
      <c r="J198" s="10" t="str">
        <f t="shared" si="2"/>
        <v>Put Spread</v>
      </c>
      <c r="K198" s="10" t="str">
        <f t="shared" ca="1" si="3"/>
        <v>Success</v>
      </c>
    </row>
    <row r="199" spans="1:11" ht="16">
      <c r="A199" s="1" t="s">
        <v>218</v>
      </c>
      <c r="B199" s="7" t="s">
        <v>14</v>
      </c>
      <c r="C199" s="8">
        <v>28.96</v>
      </c>
      <c r="D199" s="8" t="s">
        <v>15</v>
      </c>
      <c r="E199" s="8">
        <v>26.48</v>
      </c>
      <c r="F199" s="8">
        <f ca="1">IFERROR(__xludf.DUMMYFUNCTION("INDEX(GOOGLEFINANCE(A199, ""open"", DATE(2025,2,3), DATE(2025,2,3)), 2, 2)"),28.02)</f>
        <v>28.02</v>
      </c>
      <c r="G199" s="8">
        <f ca="1">IFERROR(__xludf.DUMMYFUNCTION("INDEX(GOOGLEFINANCE(A199, ""close"", DATE(2025,2,7), DATE(2025,2,7)), 2, 2)"),27.38)</f>
        <v>27.38</v>
      </c>
      <c r="H199" s="9">
        <f t="shared" ca="1" si="0"/>
        <v>-2.2840827980014295</v>
      </c>
      <c r="I199" s="10">
        <f t="shared" ca="1" si="1"/>
        <v>-22.840827980014296</v>
      </c>
      <c r="J199" s="10" t="str">
        <f t="shared" si="2"/>
        <v>Put Spread</v>
      </c>
      <c r="K199" s="10" t="str">
        <f t="shared" ca="1" si="3"/>
        <v>Success</v>
      </c>
    </row>
    <row r="200" spans="1:11" ht="16">
      <c r="A200" s="1" t="s">
        <v>219</v>
      </c>
      <c r="B200" s="7" t="s">
        <v>14</v>
      </c>
      <c r="C200" s="8">
        <v>4.51</v>
      </c>
      <c r="D200" s="8" t="s">
        <v>15</v>
      </c>
      <c r="E200" s="8">
        <v>3.07</v>
      </c>
      <c r="F200" s="8">
        <f ca="1">IFERROR(__xludf.DUMMYFUNCTION("INDEX(GOOGLEFINANCE(A200, ""open"", DATE(2025,2,3), DATE(2025,2,3)), 2, 2)"),3.62)</f>
        <v>3.62</v>
      </c>
      <c r="G200" s="8">
        <f ca="1">IFERROR(__xludf.DUMMYFUNCTION("INDEX(GOOGLEFINANCE(A200, ""close"", DATE(2025,2,7), DATE(2025,2,7)), 2, 2)"),3.58)</f>
        <v>3.58</v>
      </c>
      <c r="H200" s="9">
        <f t="shared" ca="1" si="0"/>
        <v>-1.1049723756906087</v>
      </c>
      <c r="I200" s="10">
        <f t="shared" ca="1" si="1"/>
        <v>-11.049723756906086</v>
      </c>
      <c r="J200" s="10" t="str">
        <f t="shared" si="2"/>
        <v>Put Spread</v>
      </c>
      <c r="K200" s="10" t="str">
        <f t="shared" ca="1" si="3"/>
        <v>Success</v>
      </c>
    </row>
    <row r="201" spans="1:11" ht="16">
      <c r="A201" s="1" t="s">
        <v>220</v>
      </c>
      <c r="B201" s="7" t="s">
        <v>14</v>
      </c>
      <c r="C201" s="8">
        <v>15.24</v>
      </c>
      <c r="D201" s="8" t="s">
        <v>15</v>
      </c>
      <c r="E201" s="8">
        <v>13.7</v>
      </c>
      <c r="F201" s="8">
        <f ca="1">IFERROR(__xludf.DUMMYFUNCTION("INDEX(GOOGLEFINANCE(A201, ""open"", DATE(2025,2,3), DATE(2025,2,3)), 2, 2)"),14.05)</f>
        <v>14.05</v>
      </c>
      <c r="G201" s="8">
        <f ca="1">IFERROR(__xludf.DUMMYFUNCTION("INDEX(GOOGLEFINANCE(A201, ""close"", DATE(2025,2,7), DATE(2025,2,7)), 2, 2)"),14.8)</f>
        <v>14.8</v>
      </c>
      <c r="H201" s="9">
        <f t="shared" ca="1" si="0"/>
        <v>5.3380782918149459</v>
      </c>
      <c r="I201" s="10">
        <f t="shared" ca="1" si="1"/>
        <v>53.380782918149464</v>
      </c>
      <c r="J201" s="10" t="str">
        <f t="shared" si="2"/>
        <v>Put Spread</v>
      </c>
      <c r="K201" s="10" t="str">
        <f t="shared" ca="1" si="3"/>
        <v>Success</v>
      </c>
    </row>
    <row r="202" spans="1:11" ht="16">
      <c r="A202" s="1" t="s">
        <v>221</v>
      </c>
      <c r="B202" s="7" t="s">
        <v>38</v>
      </c>
      <c r="C202" s="8">
        <v>26.7</v>
      </c>
      <c r="D202" s="8" t="s">
        <v>39</v>
      </c>
      <c r="E202" s="8">
        <v>28.72</v>
      </c>
      <c r="F202" s="8">
        <f ca="1">IFERROR(__xludf.DUMMYFUNCTION("INDEX(GOOGLEFINANCE(A202, ""open"", DATE(2025,2,3), DATE(2025,2,3)), 2, 2)"),27.22)</f>
        <v>27.22</v>
      </c>
      <c r="G202" s="8">
        <f ca="1">IFERROR(__xludf.DUMMYFUNCTION("INDEX(GOOGLEFINANCE(A202, ""close"", DATE(2025,2,7), DATE(2025,2,7)), 2, 2)"),26.9)</f>
        <v>26.9</v>
      </c>
      <c r="H202" s="9">
        <f t="shared" ca="1" si="0"/>
        <v>1.1756061719324038</v>
      </c>
      <c r="I202" s="10">
        <f t="shared" ca="1" si="1"/>
        <v>11.756061719324039</v>
      </c>
      <c r="J202" s="10" t="str">
        <f t="shared" si="2"/>
        <v>Call Spread</v>
      </c>
      <c r="K202" s="10" t="str">
        <f t="shared" ca="1" si="3"/>
        <v>Success</v>
      </c>
    </row>
    <row r="203" spans="1:11" ht="16">
      <c r="A203" s="1" t="s">
        <v>222</v>
      </c>
      <c r="B203" s="7" t="s">
        <v>14</v>
      </c>
      <c r="C203" s="8">
        <v>272.14</v>
      </c>
      <c r="D203" s="8" t="s">
        <v>15</v>
      </c>
      <c r="E203" s="8">
        <v>222.82</v>
      </c>
      <c r="F203" s="8">
        <f ca="1">IFERROR(__xludf.DUMMYFUNCTION("INDEX(GOOGLEFINANCE(A203, ""open"", DATE(2025,2,3), DATE(2025,2,3)), 2, 2)"),240.97)</f>
        <v>240.97</v>
      </c>
      <c r="G203" s="8">
        <f ca="1">IFERROR(__xludf.DUMMYFUNCTION("INDEX(GOOGLEFINANCE(A203, ""close"", DATE(2025,2,7), DATE(2025,2,7)), 2, 2)"),264.07)</f>
        <v>264.07</v>
      </c>
      <c r="H203" s="9">
        <f t="shared" ca="1" si="0"/>
        <v>9.586255550483461</v>
      </c>
      <c r="I203" s="10">
        <f t="shared" ca="1" si="1"/>
        <v>95.862555504834617</v>
      </c>
      <c r="J203" s="10" t="str">
        <f t="shared" si="2"/>
        <v>Put Spread</v>
      </c>
      <c r="K203" s="10" t="str">
        <f t="shared" ca="1" si="3"/>
        <v>Success</v>
      </c>
    </row>
    <row r="204" spans="1:11" ht="16">
      <c r="A204" s="1" t="s">
        <v>223</v>
      </c>
      <c r="B204" s="7" t="s">
        <v>14</v>
      </c>
      <c r="C204" s="8">
        <v>60.19</v>
      </c>
      <c r="D204" s="8" t="s">
        <v>15</v>
      </c>
      <c r="E204" s="8">
        <v>52.77</v>
      </c>
      <c r="F204" s="8">
        <f ca="1">IFERROR(__xludf.DUMMYFUNCTION("INDEX(GOOGLEFINANCE(A204, ""open"", DATE(2025,2,3), DATE(2025,2,3)), 2, 2)"),56.08)</f>
        <v>56.08</v>
      </c>
      <c r="G204" s="8">
        <f ca="1">IFERROR(__xludf.DUMMYFUNCTION("INDEX(GOOGLEFINANCE(A204, ""close"", DATE(2025,2,7), DATE(2025,2,7)), 2, 2)"),54.01)</f>
        <v>54.01</v>
      </c>
      <c r="H204" s="9">
        <f t="shared" ca="1" si="0"/>
        <v>-3.6911554921540661</v>
      </c>
      <c r="I204" s="10">
        <f t="shared" ca="1" si="1"/>
        <v>-36.911554921540663</v>
      </c>
      <c r="J204" s="10" t="str">
        <f t="shared" si="2"/>
        <v>Put Spread</v>
      </c>
      <c r="K204" s="10" t="str">
        <f t="shared" ca="1" si="3"/>
        <v>Success</v>
      </c>
    </row>
    <row r="205" spans="1:11" ht="16">
      <c r="A205" s="1" t="s">
        <v>224</v>
      </c>
      <c r="B205" s="7" t="s">
        <v>38</v>
      </c>
      <c r="C205" s="8">
        <v>144.91999999999999</v>
      </c>
      <c r="D205" s="8" t="s">
        <v>39</v>
      </c>
      <c r="E205" s="8">
        <v>153.46</v>
      </c>
      <c r="F205" s="8">
        <f ca="1">IFERROR(__xludf.DUMMYFUNCTION("INDEX(GOOGLEFINANCE(A205, ""open"", DATE(2025,2,3), DATE(2025,2,3)), 2, 2)"),149)</f>
        <v>149</v>
      </c>
      <c r="G205" s="8">
        <f ca="1">IFERROR(__xludf.DUMMYFUNCTION("INDEX(GOOGLEFINANCE(A205, ""close"", DATE(2025,2,7), DATE(2025,2,7)), 2, 2)"),152.62)</f>
        <v>152.62</v>
      </c>
      <c r="H205" s="9">
        <f t="shared" ca="1" si="0"/>
        <v>-2.4295302013422853</v>
      </c>
      <c r="I205" s="10">
        <f t="shared" ca="1" si="1"/>
        <v>-24.295302013422852</v>
      </c>
      <c r="J205" s="10" t="str">
        <f t="shared" si="2"/>
        <v>Call Spread</v>
      </c>
      <c r="K205" s="10" t="str">
        <f t="shared" ca="1" si="3"/>
        <v>Success</v>
      </c>
    </row>
    <row r="206" spans="1:11" ht="16">
      <c r="A206" s="1" t="s">
        <v>225</v>
      </c>
      <c r="B206" s="7" t="s">
        <v>14</v>
      </c>
      <c r="C206" s="8">
        <v>39.97</v>
      </c>
      <c r="D206" s="8" t="s">
        <v>15</v>
      </c>
      <c r="E206" s="8">
        <v>32.19</v>
      </c>
      <c r="F206" s="8">
        <f ca="1">IFERROR(__xludf.DUMMYFUNCTION("INDEX(GOOGLEFINANCE(A206, ""open"", DATE(2025,2,3), DATE(2025,2,3)), 2, 2)"),34)</f>
        <v>34</v>
      </c>
      <c r="G206" s="8">
        <f ca="1">IFERROR(__xludf.DUMMYFUNCTION("INDEX(GOOGLEFINANCE(A206, ""close"", DATE(2025,2,7), DATE(2025,2,7)), 2, 2)"),38.52)</f>
        <v>38.520000000000003</v>
      </c>
      <c r="H206" s="9">
        <f t="shared" ca="1" si="0"/>
        <v>13.294117647058833</v>
      </c>
      <c r="I206" s="10">
        <f t="shared" ca="1" si="1"/>
        <v>132.94117647058832</v>
      </c>
      <c r="J206" s="10" t="str">
        <f t="shared" si="2"/>
        <v>Put Spread</v>
      </c>
      <c r="K206" s="10" t="str">
        <f t="shared" ca="1" si="3"/>
        <v>Success</v>
      </c>
    </row>
    <row r="207" spans="1:11" ht="16">
      <c r="A207" s="1" t="s">
        <v>226</v>
      </c>
      <c r="B207" s="7" t="s">
        <v>14</v>
      </c>
      <c r="C207" s="8">
        <v>53.32</v>
      </c>
      <c r="D207" s="8" t="s">
        <v>15</v>
      </c>
      <c r="E207" s="8">
        <v>45.6</v>
      </c>
      <c r="F207" s="8">
        <f ca="1">IFERROR(__xludf.DUMMYFUNCTION("INDEX(GOOGLEFINANCE(A207, ""open"", DATE(2025,2,3), DATE(2025,2,3)), 2, 2)"),48.47)</f>
        <v>48.47</v>
      </c>
      <c r="G207" s="8">
        <f ca="1">IFERROR(__xludf.DUMMYFUNCTION("INDEX(GOOGLEFINANCE(A207, ""close"", DATE(2025,2,7), DATE(2025,2,7)), 2, 2)"),42.76)</f>
        <v>42.76</v>
      </c>
      <c r="H207" s="9">
        <f t="shared" ca="1" si="0"/>
        <v>-11.780482772849187</v>
      </c>
      <c r="I207" s="10">
        <f t="shared" ca="1" si="1"/>
        <v>-117.80482772849187</v>
      </c>
      <c r="J207" s="10" t="str">
        <f t="shared" si="2"/>
        <v>Put Spread</v>
      </c>
      <c r="K207" s="10" t="str">
        <f t="shared" ca="1" si="3"/>
        <v>No</v>
      </c>
    </row>
    <row r="208" spans="1:11" ht="16">
      <c r="A208" s="1" t="s">
        <v>227</v>
      </c>
      <c r="B208" s="7" t="s">
        <v>14</v>
      </c>
      <c r="C208" s="8">
        <v>38.22</v>
      </c>
      <c r="D208" s="8" t="s">
        <v>15</v>
      </c>
      <c r="E208" s="8">
        <v>33.880000000000003</v>
      </c>
      <c r="F208" s="8">
        <f ca="1">IFERROR(__xludf.DUMMYFUNCTION("INDEX(GOOGLEFINANCE(A208, ""open"", DATE(2025,2,3), DATE(2025,2,3)), 2, 2)"),34.87)</f>
        <v>34.869999999999997</v>
      </c>
      <c r="G208" s="8">
        <f ca="1">IFERROR(__xludf.DUMMYFUNCTION("INDEX(GOOGLEFINANCE(A208, ""close"", DATE(2025,2,7), DATE(2025,2,7)), 2, 2)"),35.72)</f>
        <v>35.72</v>
      </c>
      <c r="H208" s="9">
        <f t="shared" ca="1" si="0"/>
        <v>2.4376254660166374</v>
      </c>
      <c r="I208" s="10">
        <f t="shared" ca="1" si="1"/>
        <v>24.376254660166374</v>
      </c>
      <c r="J208" s="10" t="str">
        <f t="shared" si="2"/>
        <v>Put Spread</v>
      </c>
      <c r="K208" s="10" t="str">
        <f t="shared" ca="1" si="3"/>
        <v>Success</v>
      </c>
    </row>
    <row r="209" spans="1:11" ht="16">
      <c r="A209" s="1" t="s">
        <v>228</v>
      </c>
      <c r="B209" s="7" t="s">
        <v>14</v>
      </c>
      <c r="C209" s="8">
        <v>70.37</v>
      </c>
      <c r="D209" s="8" t="s">
        <v>15</v>
      </c>
      <c r="E209" s="8">
        <v>64.17</v>
      </c>
      <c r="F209" s="8">
        <f ca="1">IFERROR(__xludf.DUMMYFUNCTION("INDEX(GOOGLEFINANCE(A209, ""open"", DATE(2025,2,3), DATE(2025,2,3)), 2, 2)"),65.14)</f>
        <v>65.14</v>
      </c>
      <c r="G209" s="8">
        <f ca="1">IFERROR(__xludf.DUMMYFUNCTION("INDEX(GOOGLEFINANCE(A209, ""close"", DATE(2025,2,7), DATE(2025,2,7)), 2, 2)"),68.14)</f>
        <v>68.14</v>
      </c>
      <c r="H209" s="9">
        <f t="shared" ca="1" si="0"/>
        <v>4.6054651519803498</v>
      </c>
      <c r="I209" s="10">
        <f t="shared" ca="1" si="1"/>
        <v>46.0546515198035</v>
      </c>
      <c r="J209" s="10" t="str">
        <f t="shared" si="2"/>
        <v>Put Spread</v>
      </c>
      <c r="K209" s="10" t="str">
        <f t="shared" ca="1" si="3"/>
        <v>Success</v>
      </c>
    </row>
    <row r="210" spans="1:11" ht="16">
      <c r="A210" s="1" t="s">
        <v>229</v>
      </c>
      <c r="B210" s="7" t="s">
        <v>14</v>
      </c>
      <c r="C210" s="8">
        <v>201.82</v>
      </c>
      <c r="D210" s="8" t="s">
        <v>15</v>
      </c>
      <c r="E210" s="8">
        <v>175.84</v>
      </c>
      <c r="F210" s="8">
        <f ca="1">IFERROR(__xludf.DUMMYFUNCTION("INDEX(GOOGLEFINANCE(A210, ""open"", DATE(2025,2,3), DATE(2025,2,3)), 2, 2)"),186.64)</f>
        <v>186.64</v>
      </c>
      <c r="G210" s="8">
        <f ca="1">IFERROR(__xludf.DUMMYFUNCTION("INDEX(GOOGLEFINANCE(A210, ""close"", DATE(2025,2,7), DATE(2025,2,7)), 2, 2)"),195.54)</f>
        <v>195.54</v>
      </c>
      <c r="H210" s="9">
        <f t="shared" ca="1" si="0"/>
        <v>4.7685383626232358</v>
      </c>
      <c r="I210" s="10">
        <f t="shared" ca="1" si="1"/>
        <v>47.685383626232358</v>
      </c>
      <c r="J210" s="10" t="str">
        <f t="shared" si="2"/>
        <v>Put Spread</v>
      </c>
      <c r="K210" s="10" t="str">
        <f t="shared" ca="1" si="3"/>
        <v>Success</v>
      </c>
    </row>
    <row r="211" spans="1:11" ht="16">
      <c r="A211" s="1" t="s">
        <v>230</v>
      </c>
      <c r="B211" s="7" t="s">
        <v>14</v>
      </c>
      <c r="C211" s="8">
        <v>152.41999999999999</v>
      </c>
      <c r="D211" s="8" t="s">
        <v>15</v>
      </c>
      <c r="E211" s="8">
        <v>133</v>
      </c>
      <c r="F211" s="8">
        <f ca="1">IFERROR(__xludf.DUMMYFUNCTION("INDEX(GOOGLEFINANCE(A211, ""open"", DATE(2025,2,3), DATE(2025,2,3)), 2, 2)"),140.8)</f>
        <v>140.80000000000001</v>
      </c>
      <c r="G211" s="8">
        <f ca="1">IFERROR(__xludf.DUMMYFUNCTION("INDEX(GOOGLEFINANCE(A211, ""close"", DATE(2025,2,7), DATE(2025,2,7)), 2, 2)"),142.65)</f>
        <v>142.65</v>
      </c>
      <c r="H211" s="9">
        <f t="shared" ca="1" si="0"/>
        <v>1.3139204545454504</v>
      </c>
      <c r="I211" s="10">
        <f t="shared" ca="1" si="1"/>
        <v>13.139204545454504</v>
      </c>
      <c r="J211" s="10" t="str">
        <f t="shared" si="2"/>
        <v>Put Spread</v>
      </c>
      <c r="K211" s="10" t="str">
        <f t="shared" ca="1" si="3"/>
        <v>Success</v>
      </c>
    </row>
    <row r="212" spans="1:11" ht="16">
      <c r="A212" s="1" t="s">
        <v>231</v>
      </c>
      <c r="B212" s="7" t="s">
        <v>38</v>
      </c>
      <c r="C212" s="8">
        <v>457.17</v>
      </c>
      <c r="D212" s="8" t="s">
        <v>39</v>
      </c>
      <c r="E212" s="8">
        <v>495.95</v>
      </c>
      <c r="F212" s="8">
        <f ca="1">IFERROR(__xludf.DUMMYFUNCTION("INDEX(GOOGLEFINANCE(A212, ""open"", DATE(2025,2,3), DATE(2025,2,3)), 2, 2)"),464.15)</f>
        <v>464.15</v>
      </c>
      <c r="G212" s="8">
        <f ca="1">IFERROR(__xludf.DUMMYFUNCTION("INDEX(GOOGLEFINANCE(A212, ""close"", DATE(2025,2,7), DATE(2025,2,7)), 2, 2)"),465.6)</f>
        <v>465.6</v>
      </c>
      <c r="H212" s="9">
        <f t="shared" ca="1" si="0"/>
        <v>-0.31239900894108491</v>
      </c>
      <c r="I212" s="10">
        <f t="shared" ca="1" si="1"/>
        <v>-3.123990089410849</v>
      </c>
      <c r="J212" s="10" t="str">
        <f t="shared" si="2"/>
        <v>Call Spread</v>
      </c>
      <c r="K212" s="10" t="str">
        <f t="shared" ca="1" si="3"/>
        <v>Success</v>
      </c>
    </row>
    <row r="213" spans="1:11" ht="16">
      <c r="A213" s="1" t="s">
        <v>232</v>
      </c>
      <c r="B213" s="7" t="s">
        <v>38</v>
      </c>
      <c r="C213" s="8">
        <v>95.7</v>
      </c>
      <c r="D213" s="8" t="s">
        <v>39</v>
      </c>
      <c r="E213" s="8">
        <v>111.5</v>
      </c>
      <c r="F213" s="8">
        <f ca="1">IFERROR(__xludf.DUMMYFUNCTION("INDEX(GOOGLEFINANCE(A213, ""open"", DATE(2025,2,3), DATE(2025,2,3)), 2, 2)"),99.38)</f>
        <v>99.38</v>
      </c>
      <c r="G213" s="8">
        <f ca="1">IFERROR(__xludf.DUMMYFUNCTION("INDEX(GOOGLEFINANCE(A213, ""close"", DATE(2025,2,7), DATE(2025,2,7)), 2, 2)"),106.37)</f>
        <v>106.37</v>
      </c>
      <c r="H213" s="9">
        <f t="shared" ca="1" si="0"/>
        <v>-7.0336083719058253</v>
      </c>
      <c r="I213" s="10">
        <f t="shared" ca="1" si="1"/>
        <v>-70.336083719058252</v>
      </c>
      <c r="J213" s="10" t="str">
        <f t="shared" si="2"/>
        <v>Call Spread</v>
      </c>
      <c r="K213" s="10" t="str">
        <f t="shared" ca="1" si="3"/>
        <v>Success</v>
      </c>
    </row>
    <row r="214" spans="1:11" ht="16">
      <c r="A214" s="1" t="s">
        <v>233</v>
      </c>
      <c r="B214" s="7" t="s">
        <v>14</v>
      </c>
      <c r="C214" s="8">
        <v>36.42</v>
      </c>
      <c r="D214" s="8" t="s">
        <v>15</v>
      </c>
      <c r="E214" s="8">
        <v>31.24</v>
      </c>
      <c r="F214" s="8">
        <f ca="1">IFERROR(__xludf.DUMMYFUNCTION("INDEX(GOOGLEFINANCE(A214, ""open"", DATE(2025,2,3), DATE(2025,2,3)), 2, 2)"),32.42)</f>
        <v>32.42</v>
      </c>
      <c r="G214" s="8">
        <f ca="1">IFERROR(__xludf.DUMMYFUNCTION("INDEX(GOOGLEFINANCE(A214, ""close"", DATE(2025,2,7), DATE(2025,2,7)), 2, 2)"),33.6)</f>
        <v>33.6</v>
      </c>
      <c r="H214" s="9">
        <f t="shared" ca="1" si="0"/>
        <v>3.6397285626156686</v>
      </c>
      <c r="I214" s="10">
        <f t="shared" ca="1" si="1"/>
        <v>36.397285626156687</v>
      </c>
      <c r="J214" s="10" t="str">
        <f t="shared" si="2"/>
        <v>Put Spread</v>
      </c>
      <c r="K214" s="10" t="str">
        <f t="shared" ca="1" si="3"/>
        <v>Success</v>
      </c>
    </row>
    <row r="215" spans="1:11" ht="16">
      <c r="A215" s="1" t="s">
        <v>234</v>
      </c>
      <c r="B215" s="7" t="s">
        <v>14</v>
      </c>
      <c r="C215" s="8">
        <v>209.86</v>
      </c>
      <c r="D215" s="8" t="s">
        <v>15</v>
      </c>
      <c r="E215" s="8">
        <v>192.32</v>
      </c>
      <c r="F215" s="8">
        <f ca="1">IFERROR(__xludf.DUMMYFUNCTION("INDEX(GOOGLEFINANCE(A215, ""open"", DATE(2025,2,3), DATE(2025,2,3)), 2, 2)"),196.19)</f>
        <v>196.19</v>
      </c>
      <c r="G215" s="8">
        <f ca="1">IFERROR(__xludf.DUMMYFUNCTION("INDEX(GOOGLEFINANCE(A215, ""close"", DATE(2025,2,7), DATE(2025,2,7)), 2, 2)"),199.77)</f>
        <v>199.77</v>
      </c>
      <c r="H215" s="9">
        <f t="shared" ca="1" si="0"/>
        <v>1.8247617105866827</v>
      </c>
      <c r="I215" s="10">
        <f t="shared" ca="1" si="1"/>
        <v>18.247617105866826</v>
      </c>
      <c r="J215" s="10" t="str">
        <f t="shared" si="2"/>
        <v>Put Spread</v>
      </c>
      <c r="K215" s="10" t="str">
        <f t="shared" ca="1" si="3"/>
        <v>Success</v>
      </c>
    </row>
    <row r="216" spans="1:11" ht="16">
      <c r="A216" s="1" t="s">
        <v>235</v>
      </c>
      <c r="B216" s="7" t="s">
        <v>38</v>
      </c>
      <c r="C216" s="8">
        <v>65.7</v>
      </c>
      <c r="D216" s="8" t="s">
        <v>39</v>
      </c>
      <c r="E216" s="8">
        <v>76.42</v>
      </c>
      <c r="F216" s="8">
        <f ca="1">IFERROR(__xludf.DUMMYFUNCTION("INDEX(GOOGLEFINANCE(A216, ""open"", DATE(2025,2,3), DATE(2025,2,3)), 2, 2)"),70.09)</f>
        <v>70.09</v>
      </c>
      <c r="G216" s="8">
        <f ca="1">IFERROR(__xludf.DUMMYFUNCTION("INDEX(GOOGLEFINANCE(A216, ""close"", DATE(2025,2,7), DATE(2025,2,7)), 2, 2)"),72.49)</f>
        <v>72.489999999999995</v>
      </c>
      <c r="H216" s="9">
        <f t="shared" ca="1" si="0"/>
        <v>-3.4241689256669874</v>
      </c>
      <c r="I216" s="10">
        <f t="shared" ca="1" si="1"/>
        <v>-34.241689256669872</v>
      </c>
      <c r="J216" s="10" t="str">
        <f t="shared" si="2"/>
        <v>Call Spread</v>
      </c>
      <c r="K216" s="10" t="str">
        <f t="shared" ca="1" si="3"/>
        <v>Success</v>
      </c>
    </row>
    <row r="217" spans="1:11" ht="16">
      <c r="A217" s="1" t="s">
        <v>236</v>
      </c>
      <c r="B217" s="7" t="s">
        <v>38</v>
      </c>
      <c r="C217" s="8">
        <v>216.17</v>
      </c>
      <c r="D217" s="8" t="s">
        <v>39</v>
      </c>
      <c r="E217" s="8">
        <v>229.31</v>
      </c>
      <c r="F217" s="8">
        <f ca="1">IFERROR(__xludf.DUMMYFUNCTION("INDEX(GOOGLEFINANCE(A217, ""open"", DATE(2025,2,3), DATE(2025,2,3)), 2, 2)"),218)</f>
        <v>218</v>
      </c>
      <c r="G217" s="8">
        <f ca="1">IFERROR(__xludf.DUMMYFUNCTION("INDEX(GOOGLEFINANCE(A217, ""close"", DATE(2025,2,7), DATE(2025,2,7)), 2, 2)"),206.76)</f>
        <v>206.76</v>
      </c>
      <c r="H217" s="9">
        <f t="shared" ca="1" si="0"/>
        <v>5.1559633027522977</v>
      </c>
      <c r="I217" s="10">
        <f t="shared" ca="1" si="1"/>
        <v>51.559633027522977</v>
      </c>
      <c r="J217" s="10" t="str">
        <f t="shared" si="2"/>
        <v>Call Spread</v>
      </c>
      <c r="K217" s="10" t="str">
        <f t="shared" ca="1" si="3"/>
        <v>Success</v>
      </c>
    </row>
    <row r="218" spans="1:11" ht="16">
      <c r="A218" s="1" t="s">
        <v>237</v>
      </c>
      <c r="B218" s="7" t="s">
        <v>14</v>
      </c>
      <c r="C218" s="8">
        <v>12.11</v>
      </c>
      <c r="D218" s="8" t="s">
        <v>15</v>
      </c>
      <c r="E218" s="8">
        <v>10.53</v>
      </c>
      <c r="F218" s="8">
        <f ca="1">IFERROR(__xludf.DUMMYFUNCTION("INDEX(GOOGLEFINANCE(A218, ""open"", DATE(2025,2,3), DATE(2025,2,3)), 2, 2)"),11.32)</f>
        <v>11.32</v>
      </c>
      <c r="G218" s="8">
        <f ca="1">IFERROR(__xludf.DUMMYFUNCTION("INDEX(GOOGLEFINANCE(A218, ""close"", DATE(2025,2,7), DATE(2025,2,7)), 2, 2)"),11.36)</f>
        <v>11.36</v>
      </c>
      <c r="H218" s="9">
        <f t="shared" ca="1" si="0"/>
        <v>0.35335689045935642</v>
      </c>
      <c r="I218" s="10">
        <f t="shared" ca="1" si="1"/>
        <v>3.5335689045935639</v>
      </c>
      <c r="J218" s="10" t="str">
        <f t="shared" si="2"/>
        <v>Put Spread</v>
      </c>
      <c r="K218" s="10" t="str">
        <f t="shared" ca="1" si="3"/>
        <v>Success</v>
      </c>
    </row>
    <row r="219" spans="1:11" ht="16">
      <c r="A219" s="1" t="s">
        <v>238</v>
      </c>
      <c r="B219" s="7" t="s">
        <v>14</v>
      </c>
      <c r="C219" s="8">
        <v>452.89</v>
      </c>
      <c r="D219" s="8" t="s">
        <v>15</v>
      </c>
      <c r="E219" s="8">
        <v>437.89</v>
      </c>
      <c r="F219" s="8">
        <f ca="1">IFERROR(__xludf.DUMMYFUNCTION("INDEX(GOOGLEFINANCE(A219, ""open"", DATE(2025,2,3), DATE(2025,2,3)), 2, 2)"),439.61)</f>
        <v>439.61</v>
      </c>
      <c r="G219" s="8">
        <f ca="1">IFERROR(__xludf.DUMMYFUNCTION("INDEX(GOOGLEFINANCE(A219, ""close"", DATE(2025,2,7), DATE(2025,2,7)), 2, 2)"),443.12)</f>
        <v>443.12</v>
      </c>
      <c r="H219" s="9">
        <f t="shared" ca="1" si="0"/>
        <v>0.79843497645640249</v>
      </c>
      <c r="I219" s="10">
        <f t="shared" ca="1" si="1"/>
        <v>7.9843497645640253</v>
      </c>
      <c r="J219" s="10" t="str">
        <f t="shared" si="2"/>
        <v>Put Spread</v>
      </c>
      <c r="K219" s="10" t="str">
        <f t="shared" ca="1" si="3"/>
        <v>Success</v>
      </c>
    </row>
    <row r="220" spans="1:11" ht="16">
      <c r="A220" s="1" t="s">
        <v>239</v>
      </c>
      <c r="B220" s="7" t="s">
        <v>38</v>
      </c>
      <c r="C220" s="8">
        <v>34.119999999999997</v>
      </c>
      <c r="D220" s="8" t="s">
        <v>39</v>
      </c>
      <c r="E220" s="8">
        <v>38.04</v>
      </c>
      <c r="F220" s="8">
        <f ca="1">IFERROR(__xludf.DUMMYFUNCTION("INDEX(GOOGLEFINANCE(A220, ""open"", DATE(2025,2,3), DATE(2025,2,3)), 2, 2)"),35.83)</f>
        <v>35.83</v>
      </c>
      <c r="G220" s="8">
        <f ca="1">IFERROR(__xludf.DUMMYFUNCTION("INDEX(GOOGLEFINANCE(A220, ""close"", DATE(2025,2,7), DATE(2025,2,7)), 2, 2)"),36.25)</f>
        <v>36.25</v>
      </c>
      <c r="H220" s="9">
        <f t="shared" ca="1" si="0"/>
        <v>-1.1722020653084055</v>
      </c>
      <c r="I220" s="10">
        <f t="shared" ca="1" si="1"/>
        <v>-11.722020653084055</v>
      </c>
      <c r="J220" s="10" t="str">
        <f t="shared" si="2"/>
        <v>Call Spread</v>
      </c>
      <c r="K220" s="10" t="str">
        <f t="shared" ca="1" si="3"/>
        <v>Success</v>
      </c>
    </row>
    <row r="221" spans="1:11" ht="16">
      <c r="A221" s="1" t="s">
        <v>240</v>
      </c>
      <c r="B221" s="7" t="s">
        <v>14</v>
      </c>
      <c r="C221" s="8">
        <v>118.35</v>
      </c>
      <c r="D221" s="8" t="s">
        <v>15</v>
      </c>
      <c r="E221" s="8">
        <v>107.77</v>
      </c>
      <c r="F221" s="8">
        <f ca="1">IFERROR(__xludf.DUMMYFUNCTION("INDEX(GOOGLEFINANCE(A221, ""open"", DATE(2025,2,3), DATE(2025,2,3)), 2, 2)"),111.35)</f>
        <v>111.35</v>
      </c>
      <c r="G221" s="8">
        <f ca="1">IFERROR(__xludf.DUMMYFUNCTION("INDEX(GOOGLEFINANCE(A221, ""close"", DATE(2025,2,7), DATE(2025,2,7)), 2, 2)"),110.86)</f>
        <v>110.86</v>
      </c>
      <c r="H221" s="9">
        <f t="shared" ca="1" si="0"/>
        <v>-0.44005388414907493</v>
      </c>
      <c r="I221" s="10">
        <f t="shared" ca="1" si="1"/>
        <v>-4.4005388414907491</v>
      </c>
      <c r="J221" s="10" t="str">
        <f t="shared" si="2"/>
        <v>Put Spread</v>
      </c>
      <c r="K221" s="10" t="str">
        <f t="shared" ca="1" si="3"/>
        <v>Success</v>
      </c>
    </row>
    <row r="222" spans="1:11" ht="16">
      <c r="A222" s="1" t="s">
        <v>241</v>
      </c>
      <c r="B222" s="7" t="s">
        <v>14</v>
      </c>
      <c r="C222" s="8">
        <v>35.51</v>
      </c>
      <c r="D222" s="8" t="s">
        <v>15</v>
      </c>
      <c r="E222" s="8">
        <v>28.21</v>
      </c>
      <c r="F222" s="8">
        <f ca="1">IFERROR(__xludf.DUMMYFUNCTION("INDEX(GOOGLEFINANCE(A222, ""open"", DATE(2025,2,3), DATE(2025,2,3)), 2, 2)"),30.02)</f>
        <v>30.02</v>
      </c>
      <c r="G222" s="8">
        <f ca="1">IFERROR(__xludf.DUMMYFUNCTION("INDEX(GOOGLEFINANCE(A222, ""close"", DATE(2025,2,7), DATE(2025,2,7)), 2, 2)"),31.19)</f>
        <v>31.19</v>
      </c>
      <c r="H222" s="9">
        <f t="shared" ca="1" si="0"/>
        <v>3.8974017321785537</v>
      </c>
      <c r="I222" s="10">
        <f t="shared" ca="1" si="1"/>
        <v>38.974017321785539</v>
      </c>
      <c r="J222" s="10" t="str">
        <f t="shared" si="2"/>
        <v>Put Spread</v>
      </c>
      <c r="K222" s="10" t="str">
        <f t="shared" ca="1" si="3"/>
        <v>Success</v>
      </c>
    </row>
    <row r="223" spans="1:11" ht="16">
      <c r="A223" s="1" t="s">
        <v>242</v>
      </c>
      <c r="B223" s="7" t="s">
        <v>14</v>
      </c>
      <c r="C223" s="8">
        <v>44.86</v>
      </c>
      <c r="D223" s="8" t="s">
        <v>15</v>
      </c>
      <c r="E223" s="8">
        <v>39.04</v>
      </c>
      <c r="F223" s="8">
        <f ca="1">IFERROR(__xludf.DUMMYFUNCTION("INDEX(GOOGLEFINANCE(A223, ""open"", DATE(2025,2,3), DATE(2025,2,3)), 2, 2)"),41.07)</f>
        <v>41.07</v>
      </c>
      <c r="G223" s="8">
        <f ca="1">IFERROR(__xludf.DUMMYFUNCTION("INDEX(GOOGLEFINANCE(A223, ""close"", DATE(2025,2,7), DATE(2025,2,7)), 2, 2)"),42.28)</f>
        <v>42.28</v>
      </c>
      <c r="H223" s="9">
        <f t="shared" ca="1" si="0"/>
        <v>2.9461894326759213</v>
      </c>
      <c r="I223" s="10">
        <f t="shared" ca="1" si="1"/>
        <v>29.461894326759211</v>
      </c>
      <c r="J223" s="10" t="str">
        <f t="shared" si="2"/>
        <v>Put Spread</v>
      </c>
      <c r="K223" s="10" t="str">
        <f t="shared" ca="1" si="3"/>
        <v>Success</v>
      </c>
    </row>
    <row r="224" spans="1:11" ht="16">
      <c r="A224" s="1" t="s">
        <v>243</v>
      </c>
      <c r="B224" s="7" t="s">
        <v>38</v>
      </c>
      <c r="C224" s="8">
        <v>225.46</v>
      </c>
      <c r="D224" s="8" t="s">
        <v>39</v>
      </c>
      <c r="E224" s="8">
        <v>254.64</v>
      </c>
      <c r="F224" s="8">
        <f ca="1">IFERROR(__xludf.DUMMYFUNCTION("INDEX(GOOGLEFINANCE(A224, ""open"", DATE(2025,2,3), DATE(2025,2,3)), 2, 2)"),233.87)</f>
        <v>233.87</v>
      </c>
      <c r="G224" s="8">
        <f ca="1">IFERROR(__xludf.DUMMYFUNCTION("INDEX(GOOGLEFINANCE(A224, ""close"", DATE(2025,2,7), DATE(2025,2,7)), 2, 2)"),233.89)</f>
        <v>233.89</v>
      </c>
      <c r="H224" s="9">
        <f t="shared" ca="1" si="0"/>
        <v>-8.5517595245143928E-3</v>
      </c>
      <c r="I224" s="10">
        <f t="shared" ca="1" si="1"/>
        <v>-8.5517595245143935E-2</v>
      </c>
      <c r="J224" s="10" t="str">
        <f t="shared" si="2"/>
        <v>Call Spread</v>
      </c>
      <c r="K224" s="10" t="str">
        <f t="shared" ca="1" si="3"/>
        <v>Success</v>
      </c>
    </row>
    <row r="225" spans="1:11" ht="16">
      <c r="A225" s="1" t="s">
        <v>244</v>
      </c>
      <c r="B225" s="7" t="s">
        <v>14</v>
      </c>
      <c r="C225" s="8">
        <v>14.24</v>
      </c>
      <c r="D225" s="8" t="s">
        <v>15</v>
      </c>
      <c r="E225" s="8">
        <v>12.16</v>
      </c>
      <c r="F225" s="8">
        <f ca="1">IFERROR(__xludf.DUMMYFUNCTION("INDEX(GOOGLEFINANCE(A225, ""open"", DATE(2025,2,3), DATE(2025,2,3)), 2, 2)"),12.86)</f>
        <v>12.86</v>
      </c>
      <c r="G225" s="8">
        <f ca="1">IFERROR(__xludf.DUMMYFUNCTION("INDEX(GOOGLEFINANCE(A225, ""close"", DATE(2025,2,7), DATE(2025,2,7)), 2, 2)"),12.75)</f>
        <v>12.75</v>
      </c>
      <c r="H225" s="9">
        <f t="shared" ca="1" si="0"/>
        <v>-0.85536547433903132</v>
      </c>
      <c r="I225" s="10">
        <f t="shared" ca="1" si="1"/>
        <v>-8.5536547433903127</v>
      </c>
      <c r="J225" s="10" t="str">
        <f t="shared" si="2"/>
        <v>Put Spread</v>
      </c>
      <c r="K225" s="10" t="str">
        <f t="shared" ca="1" si="3"/>
        <v>Success</v>
      </c>
    </row>
    <row r="226" spans="1:11" ht="16">
      <c r="A226" s="1" t="s">
        <v>245</v>
      </c>
      <c r="B226" s="7" t="s">
        <v>14</v>
      </c>
      <c r="C226" s="8">
        <v>79.400000000000006</v>
      </c>
      <c r="D226" s="8" t="s">
        <v>15</v>
      </c>
      <c r="E226" s="8">
        <v>67.3</v>
      </c>
      <c r="F226" s="8">
        <f ca="1">IFERROR(__xludf.DUMMYFUNCTION("INDEX(GOOGLEFINANCE(A226, ""open"", DATE(2025,2,3), DATE(2025,2,3)), 2, 2)"),71.06)</f>
        <v>71.06</v>
      </c>
      <c r="G226" s="8">
        <f ca="1">IFERROR(__xludf.DUMMYFUNCTION("INDEX(GOOGLEFINANCE(A226, ""close"", DATE(2025,2,7), DATE(2025,2,7)), 2, 2)"),72.66)</f>
        <v>72.66</v>
      </c>
      <c r="H226" s="9">
        <f t="shared" ca="1" si="0"/>
        <v>2.25161835068955</v>
      </c>
      <c r="I226" s="10">
        <f t="shared" ca="1" si="1"/>
        <v>22.516183506895501</v>
      </c>
      <c r="J226" s="10" t="str">
        <f t="shared" si="2"/>
        <v>Put Spread</v>
      </c>
      <c r="K226" s="10" t="str">
        <f t="shared" ca="1" si="3"/>
        <v>Success</v>
      </c>
    </row>
    <row r="227" spans="1:11" ht="16">
      <c r="A227" s="1" t="s">
        <v>246</v>
      </c>
      <c r="B227" s="7" t="s">
        <v>14</v>
      </c>
      <c r="C227" s="8">
        <v>15.78</v>
      </c>
      <c r="D227" s="8" t="s">
        <v>15</v>
      </c>
      <c r="E227" s="8">
        <v>10.94</v>
      </c>
      <c r="F227" s="8">
        <f ca="1">IFERROR(__xludf.DUMMYFUNCTION("INDEX(GOOGLEFINANCE(A227, ""open"", DATE(2025,2,3), DATE(2025,2,3)), 2, 2)"),12.37)</f>
        <v>12.37</v>
      </c>
      <c r="G227" s="8">
        <f ca="1">IFERROR(__xludf.DUMMYFUNCTION("INDEX(GOOGLEFINANCE(A227, ""close"", DATE(2025,2,7), DATE(2025,2,7)), 2, 2)"),14.25)</f>
        <v>14.25</v>
      </c>
      <c r="H227" s="9">
        <f t="shared" ca="1" si="0"/>
        <v>15.19805982215037</v>
      </c>
      <c r="I227" s="10">
        <f t="shared" ca="1" si="1"/>
        <v>151.9805982215037</v>
      </c>
      <c r="J227" s="10" t="str">
        <f t="shared" si="2"/>
        <v>Put Spread</v>
      </c>
      <c r="K227" s="10" t="str">
        <f t="shared" ca="1" si="3"/>
        <v>Success</v>
      </c>
    </row>
    <row r="228" spans="1:11" ht="16">
      <c r="A228" s="1" t="s">
        <v>247</v>
      </c>
      <c r="B228" s="7" t="s">
        <v>14</v>
      </c>
      <c r="C228" s="8">
        <v>1.97</v>
      </c>
      <c r="D228" s="8" t="s">
        <v>15</v>
      </c>
      <c r="E228" s="8">
        <v>1.67</v>
      </c>
      <c r="F228" s="8">
        <f ca="1">IFERROR(__xludf.DUMMYFUNCTION("INDEX(GOOGLEFINANCE(A228, ""open"", DATE(2025,2,3), DATE(2025,2,3)), 2, 2)"),1.74)</f>
        <v>1.74</v>
      </c>
      <c r="G228" s="8">
        <f ca="1">IFERROR(__xludf.DUMMYFUNCTION("INDEX(GOOGLEFINANCE(A228, ""close"", DATE(2025,2,7), DATE(2025,2,7)), 2, 2)"),1.81)</f>
        <v>1.81</v>
      </c>
      <c r="H228" s="9">
        <f t="shared" ca="1" si="0"/>
        <v>4.0229885057471302</v>
      </c>
      <c r="I228" s="10">
        <f t="shared" ca="1" si="1"/>
        <v>40.2298850574713</v>
      </c>
      <c r="J228" s="10" t="str">
        <f t="shared" si="2"/>
        <v>Put Spread</v>
      </c>
      <c r="K228" s="10" t="str">
        <f t="shared" ca="1" si="3"/>
        <v>Success</v>
      </c>
    </row>
    <row r="229" spans="1:11" ht="16">
      <c r="A229" s="1" t="s">
        <v>248</v>
      </c>
      <c r="B229" s="7" t="s">
        <v>14</v>
      </c>
      <c r="C229" s="8">
        <v>104.02</v>
      </c>
      <c r="D229" s="8" t="s">
        <v>15</v>
      </c>
      <c r="E229" s="8">
        <v>89.44</v>
      </c>
      <c r="F229" s="8">
        <f ca="1">IFERROR(__xludf.DUMMYFUNCTION("INDEX(GOOGLEFINANCE(A229, ""open"", DATE(2025,2,3), DATE(2025,2,3)), 2, 2)"),93.06)</f>
        <v>93.06</v>
      </c>
      <c r="G229" s="8">
        <f ca="1">IFERROR(__xludf.DUMMYFUNCTION("INDEX(GOOGLEFINANCE(A229, ""close"", DATE(2025,2,7), DATE(2025,2,7)), 2, 2)"),90.48)</f>
        <v>90.48</v>
      </c>
      <c r="H229" s="9">
        <f t="shared" ca="1" si="0"/>
        <v>-2.7724049000644726</v>
      </c>
      <c r="I229" s="10">
        <f t="shared" ca="1" si="1"/>
        <v>-27.724049000644726</v>
      </c>
      <c r="J229" s="10" t="str">
        <f t="shared" si="2"/>
        <v>Put Spread</v>
      </c>
      <c r="K229" s="10" t="str">
        <f t="shared" ca="1" si="3"/>
        <v>Success</v>
      </c>
    </row>
    <row r="230" spans="1:11" ht="16">
      <c r="A230" s="1" t="s">
        <v>249</v>
      </c>
      <c r="B230" s="7" t="s">
        <v>38</v>
      </c>
      <c r="C230" s="8">
        <v>37.44</v>
      </c>
      <c r="D230" s="8" t="s">
        <v>39</v>
      </c>
      <c r="E230" s="8">
        <v>40.659999999999997</v>
      </c>
      <c r="F230" s="8">
        <f ca="1">IFERROR(__xludf.DUMMYFUNCTION("INDEX(GOOGLEFINANCE(A230, ""open"", DATE(2025,2,3), DATE(2025,2,3)), 2, 2)"),38.2)</f>
        <v>38.200000000000003</v>
      </c>
      <c r="G230" s="8">
        <f ca="1">IFERROR(__xludf.DUMMYFUNCTION("INDEX(GOOGLEFINANCE(A230, ""close"", DATE(2025,2,7), DATE(2025,2,7)), 2, 2)"),38.58)</f>
        <v>38.58</v>
      </c>
      <c r="H230" s="9">
        <f t="shared" ca="1" si="0"/>
        <v>-0.99476439790574711</v>
      </c>
      <c r="I230" s="10">
        <f t="shared" ca="1" si="1"/>
        <v>-9.9476439790574709</v>
      </c>
      <c r="J230" s="10" t="str">
        <f t="shared" si="2"/>
        <v>Call Spread</v>
      </c>
      <c r="K230" s="10" t="str">
        <f t="shared" ca="1" si="3"/>
        <v>Success</v>
      </c>
    </row>
    <row r="231" spans="1:11" ht="16">
      <c r="A231" s="1" t="s">
        <v>250</v>
      </c>
      <c r="B231" s="7" t="s">
        <v>14</v>
      </c>
      <c r="C231" s="8">
        <v>143.53</v>
      </c>
      <c r="D231" s="8" t="s">
        <v>15</v>
      </c>
      <c r="E231" s="8">
        <v>113.93</v>
      </c>
      <c r="F231" s="8">
        <f ca="1">IFERROR(__xludf.DUMMYFUNCTION("INDEX(GOOGLEFINANCE(A231, ""open"", DATE(2025,2,3), DATE(2025,2,3)), 2, 2)"),118.27)</f>
        <v>118.27</v>
      </c>
      <c r="G231" s="8">
        <f ca="1">IFERROR(__xludf.DUMMYFUNCTION("INDEX(GOOGLEFINANCE(A231, ""close"", DATE(2025,2,7), DATE(2025,2,7)), 2, 2)"),130.75)</f>
        <v>130.75</v>
      </c>
      <c r="H231" s="9">
        <f t="shared" ca="1" si="0"/>
        <v>10.552126490234214</v>
      </c>
      <c r="I231" s="10">
        <f t="shared" ca="1" si="1"/>
        <v>105.52126490234214</v>
      </c>
      <c r="J231" s="10" t="str">
        <f t="shared" si="2"/>
        <v>Put Spread</v>
      </c>
      <c r="K231" s="10" t="str">
        <f t="shared" ca="1" si="3"/>
        <v>Success</v>
      </c>
    </row>
    <row r="232" spans="1:11" ht="16">
      <c r="A232" s="1" t="s">
        <v>251</v>
      </c>
      <c r="B232" s="7" t="s">
        <v>14</v>
      </c>
      <c r="C232" s="8">
        <v>10.87</v>
      </c>
      <c r="D232" s="8" t="s">
        <v>15</v>
      </c>
      <c r="E232" s="8">
        <v>9.27</v>
      </c>
      <c r="F232" s="8">
        <f ca="1">IFERROR(__xludf.DUMMYFUNCTION("INDEX(GOOGLEFINANCE(A232, ""open"", DATE(2025,2,3), DATE(2025,2,3)), 2, 2)"),10.22)</f>
        <v>10.220000000000001</v>
      </c>
      <c r="G232" s="8">
        <f ca="1">IFERROR(__xludf.DUMMYFUNCTION("INDEX(GOOGLEFINANCE(A232, ""close"", DATE(2025,2,7), DATE(2025,2,7)), 2, 2)"),11.11)</f>
        <v>11.11</v>
      </c>
      <c r="H232" s="9">
        <f t="shared" ca="1" si="0"/>
        <v>8.7084148727984214</v>
      </c>
      <c r="I232" s="10">
        <f t="shared" ca="1" si="1"/>
        <v>87.084148727984214</v>
      </c>
      <c r="J232" s="10" t="str">
        <f t="shared" si="2"/>
        <v>Put Spread</v>
      </c>
      <c r="K232" s="10" t="str">
        <f t="shared" ca="1" si="3"/>
        <v>Success</v>
      </c>
    </row>
    <row r="233" spans="1:11" ht="16">
      <c r="A233" s="1" t="s">
        <v>252</v>
      </c>
      <c r="B233" s="7" t="s">
        <v>14</v>
      </c>
      <c r="C233" s="8">
        <v>30.05</v>
      </c>
      <c r="D233" s="8" t="s">
        <v>15</v>
      </c>
      <c r="E233" s="8">
        <v>25.53</v>
      </c>
      <c r="F233" s="8">
        <f ca="1">IFERROR(__xludf.DUMMYFUNCTION("INDEX(GOOGLEFINANCE(A233, ""open"", DATE(2025,2,3), DATE(2025,2,3)), 2, 2)"),28.77)</f>
        <v>28.77</v>
      </c>
      <c r="G233" s="8">
        <f ca="1">IFERROR(__xludf.DUMMYFUNCTION("INDEX(GOOGLEFINANCE(A233, ""close"", DATE(2025,2,7), DATE(2025,2,7)), 2, 2)"),26.88)</f>
        <v>26.88</v>
      </c>
      <c r="H233" s="9">
        <f t="shared" ca="1" si="0"/>
        <v>-6.569343065693432</v>
      </c>
      <c r="I233" s="10">
        <f t="shared" ca="1" si="1"/>
        <v>-65.693430656934311</v>
      </c>
      <c r="J233" s="10" t="str">
        <f t="shared" si="2"/>
        <v>Put Spread</v>
      </c>
      <c r="K233" s="10" t="str">
        <f t="shared" ca="1" si="3"/>
        <v>Success</v>
      </c>
    </row>
    <row r="234" spans="1:11" ht="16">
      <c r="A234" s="1" t="s">
        <v>253</v>
      </c>
      <c r="B234" s="7" t="s">
        <v>14</v>
      </c>
      <c r="C234" s="8">
        <v>115.13</v>
      </c>
      <c r="D234" s="8" t="s">
        <v>15</v>
      </c>
      <c r="E234" s="8">
        <v>108.85</v>
      </c>
      <c r="F234" s="8">
        <f ca="1">IFERROR(__xludf.DUMMYFUNCTION("INDEX(GOOGLEFINANCE(A234, ""open"", DATE(2025,2,3), DATE(2025,2,3)), 2, 2)"),111.98)</f>
        <v>111.98</v>
      </c>
      <c r="G234" s="8">
        <f ca="1">IFERROR(__xludf.DUMMYFUNCTION("INDEX(GOOGLEFINANCE(A234, ""close"", DATE(2025,2,7), DATE(2025,2,7)), 2, 2)"),114.99)</f>
        <v>114.99</v>
      </c>
      <c r="H234" s="9">
        <f t="shared" ca="1" si="0"/>
        <v>2.6879799964279254</v>
      </c>
      <c r="I234" s="10">
        <f t="shared" ca="1" si="1"/>
        <v>26.879799964279254</v>
      </c>
      <c r="J234" s="10" t="str">
        <f t="shared" si="2"/>
        <v>Put Spread</v>
      </c>
      <c r="K234" s="10" t="str">
        <f t="shared" ca="1" si="3"/>
        <v>Success</v>
      </c>
    </row>
    <row r="235" spans="1:11" ht="16">
      <c r="A235" s="1" t="s">
        <v>254</v>
      </c>
      <c r="B235" s="7" t="s">
        <v>14</v>
      </c>
      <c r="C235" s="8">
        <v>396.68</v>
      </c>
      <c r="D235" s="8" t="s">
        <v>15</v>
      </c>
      <c r="E235" s="8">
        <v>331.3</v>
      </c>
      <c r="F235" s="8">
        <f ca="1">IFERROR(__xludf.DUMMYFUNCTION("INDEX(GOOGLEFINANCE(A235, ""open"", DATE(2025,2,3), DATE(2025,2,3)), 2, 2)"),354.96)</f>
        <v>354.96</v>
      </c>
      <c r="G235" s="8">
        <f ca="1">IFERROR(__xludf.DUMMYFUNCTION("INDEX(GOOGLEFINANCE(A235, ""close"", DATE(2025,2,7), DATE(2025,2,7)), 2, 2)"),393.8)</f>
        <v>393.8</v>
      </c>
      <c r="H235" s="9">
        <f t="shared" ca="1" si="0"/>
        <v>10.942077980617544</v>
      </c>
      <c r="I235" s="10">
        <f t="shared" ca="1" si="1"/>
        <v>109.42077980617543</v>
      </c>
      <c r="J235" s="10" t="str">
        <f t="shared" si="2"/>
        <v>Put Spread</v>
      </c>
      <c r="K235" s="10" t="str">
        <f t="shared" ca="1" si="3"/>
        <v>Success</v>
      </c>
    </row>
    <row r="236" spans="1:11" ht="16">
      <c r="A236" s="1" t="s">
        <v>255</v>
      </c>
      <c r="B236" s="7" t="s">
        <v>14</v>
      </c>
      <c r="C236" s="8">
        <v>56.93</v>
      </c>
      <c r="D236" s="8" t="s">
        <v>15</v>
      </c>
      <c r="E236" s="8">
        <v>46.57</v>
      </c>
      <c r="F236" s="8">
        <f ca="1">IFERROR(__xludf.DUMMYFUNCTION("INDEX(GOOGLEFINANCE(A236, ""open"", DATE(2025,2,3), DATE(2025,2,3)), 2, 2)"),51.16)</f>
        <v>51.16</v>
      </c>
      <c r="G236" s="8">
        <f ca="1">IFERROR(__xludf.DUMMYFUNCTION("INDEX(GOOGLEFINANCE(A236, ""close"", DATE(2025,2,7), DATE(2025,2,7)), 2, 2)"),46.78)</f>
        <v>46.78</v>
      </c>
      <c r="H236" s="9">
        <f t="shared" ca="1" si="0"/>
        <v>-8.5613760750586305</v>
      </c>
      <c r="I236" s="10">
        <f t="shared" ca="1" si="1"/>
        <v>-85.613760750586295</v>
      </c>
      <c r="J236" s="10" t="str">
        <f t="shared" si="2"/>
        <v>Put Spread</v>
      </c>
      <c r="K236" s="10" t="str">
        <f t="shared" ca="1" si="3"/>
        <v>Success</v>
      </c>
    </row>
    <row r="237" spans="1:11" ht="16">
      <c r="A237" s="1" t="s">
        <v>256</v>
      </c>
      <c r="B237" s="7" t="s">
        <v>14</v>
      </c>
      <c r="C237" s="8">
        <v>14.63</v>
      </c>
      <c r="D237" s="8" t="s">
        <v>15</v>
      </c>
      <c r="E237" s="8">
        <v>11.47</v>
      </c>
      <c r="F237" s="8">
        <f ca="1">IFERROR(__xludf.DUMMYFUNCTION("INDEX(GOOGLEFINANCE(A237, ""open"", DATE(2025,2,3), DATE(2025,2,3)), 2, 2)"),12.79)</f>
        <v>12.79</v>
      </c>
      <c r="G237" s="8">
        <f ca="1">IFERROR(__xludf.DUMMYFUNCTION("INDEX(GOOGLEFINANCE(A237, ""close"", DATE(2025,2,7), DATE(2025,2,7)), 2, 2)"),13.15)</f>
        <v>13.15</v>
      </c>
      <c r="H237" s="9">
        <f t="shared" ca="1" si="0"/>
        <v>2.8146989835809322</v>
      </c>
      <c r="I237" s="10">
        <f t="shared" ca="1" si="1"/>
        <v>28.146989835809322</v>
      </c>
      <c r="J237" s="10" t="str">
        <f t="shared" si="2"/>
        <v>Put Spread</v>
      </c>
      <c r="K237" s="10" t="str">
        <f t="shared" ca="1" si="3"/>
        <v>Success</v>
      </c>
    </row>
    <row r="238" spans="1:11" ht="16">
      <c r="A238" s="1" t="s">
        <v>257</v>
      </c>
      <c r="B238" s="7" t="s">
        <v>38</v>
      </c>
      <c r="C238" s="8">
        <v>32.520000000000003</v>
      </c>
      <c r="D238" s="8" t="s">
        <v>39</v>
      </c>
      <c r="E238" s="8">
        <v>35.68</v>
      </c>
      <c r="F238" s="8">
        <f ca="1">IFERROR(__xludf.DUMMYFUNCTION("INDEX(GOOGLEFINANCE(A238, ""open"", DATE(2025,2,3), DATE(2025,2,3)), 2, 2)"),34.18)</f>
        <v>34.18</v>
      </c>
      <c r="G238" s="8">
        <f ca="1">IFERROR(__xludf.DUMMYFUNCTION("INDEX(GOOGLEFINANCE(A238, ""close"", DATE(2025,2,7), DATE(2025,2,7)), 2, 2)"),33.15)</f>
        <v>33.15</v>
      </c>
      <c r="H238" s="9">
        <f t="shared" ca="1" si="0"/>
        <v>3.0134581626682304</v>
      </c>
      <c r="I238" s="10">
        <f t="shared" ca="1" si="1"/>
        <v>30.134581626682301</v>
      </c>
      <c r="J238" s="10" t="str">
        <f t="shared" si="2"/>
        <v>Call Spread</v>
      </c>
      <c r="K238" s="10" t="str">
        <f t="shared" ca="1" si="3"/>
        <v>Success</v>
      </c>
    </row>
    <row r="239" spans="1:11" ht="16">
      <c r="A239" s="1" t="s">
        <v>258</v>
      </c>
      <c r="B239" s="7" t="s">
        <v>14</v>
      </c>
      <c r="C239" s="8">
        <v>92.24</v>
      </c>
      <c r="D239" s="8" t="s">
        <v>15</v>
      </c>
      <c r="E239" s="8">
        <v>81.42</v>
      </c>
      <c r="F239" s="8">
        <f ca="1">IFERROR(__xludf.DUMMYFUNCTION("INDEX(GOOGLEFINANCE(A239, ""open"", DATE(2025,2,3), DATE(2025,2,3)), 2, 2)"),88)</f>
        <v>88</v>
      </c>
      <c r="G239" s="8">
        <f ca="1">IFERROR(__xludf.DUMMYFUNCTION("INDEX(GOOGLEFINANCE(A239, ""close"", DATE(2025,2,7), DATE(2025,2,7)), 2, 2)"),88.08)</f>
        <v>88.08</v>
      </c>
      <c r="H239" s="9">
        <f t="shared" ca="1" si="0"/>
        <v>9.0909090909088969E-2</v>
      </c>
      <c r="I239" s="10">
        <f t="shared" ca="1" si="1"/>
        <v>0.90909090909088974</v>
      </c>
      <c r="J239" s="10" t="str">
        <f t="shared" si="2"/>
        <v>Put Spread</v>
      </c>
      <c r="K239" s="10" t="str">
        <f t="shared" ca="1" si="3"/>
        <v>Success</v>
      </c>
    </row>
    <row r="240" spans="1:11" ht="16">
      <c r="A240" s="1" t="s">
        <v>259</v>
      </c>
      <c r="B240" s="7" t="s">
        <v>38</v>
      </c>
      <c r="C240" s="8">
        <v>117.96</v>
      </c>
      <c r="D240" s="8" t="s">
        <v>39</v>
      </c>
      <c r="E240" s="8">
        <v>127.86</v>
      </c>
      <c r="F240" s="8">
        <f ca="1">IFERROR(__xludf.DUMMYFUNCTION("INDEX(GOOGLEFINANCE(A240, ""open"", DATE(2025,2,3), DATE(2025,2,3)), 2, 2)"),121.76)</f>
        <v>121.76</v>
      </c>
      <c r="G240" s="8">
        <f ca="1">IFERROR(__xludf.DUMMYFUNCTION("INDEX(GOOGLEFINANCE(A240, ""close"", DATE(2025,2,7), DATE(2025,2,7)), 2, 2)"),128.6)</f>
        <v>128.6</v>
      </c>
      <c r="H240" s="9">
        <f t="shared" ca="1" si="0"/>
        <v>-5.6176084099868504</v>
      </c>
      <c r="I240" s="10">
        <f t="shared" ca="1" si="1"/>
        <v>-56.176084099868504</v>
      </c>
      <c r="J240" s="10" t="str">
        <f t="shared" si="2"/>
        <v>Call Spread</v>
      </c>
      <c r="K240" s="10" t="str">
        <f t="shared" ca="1" si="3"/>
        <v>No</v>
      </c>
    </row>
    <row r="241" spans="1:11" ht="16">
      <c r="A241" s="1" t="s">
        <v>260</v>
      </c>
      <c r="B241" s="7" t="s">
        <v>14</v>
      </c>
      <c r="C241" s="8">
        <v>69.81</v>
      </c>
      <c r="D241" s="8" t="s">
        <v>15</v>
      </c>
      <c r="E241" s="8">
        <v>65.150000000000006</v>
      </c>
      <c r="F241" s="8">
        <f ca="1">IFERROR(__xludf.DUMMYFUNCTION("INDEX(GOOGLEFINANCE(A241, ""open"", DATE(2025,2,3), DATE(2025,2,3)), 2, 2)"),66.6)</f>
        <v>66.599999999999994</v>
      </c>
      <c r="G241" s="8">
        <f ca="1">IFERROR(__xludf.DUMMYFUNCTION("INDEX(GOOGLEFINANCE(A241, ""close"", DATE(2025,2,7), DATE(2025,2,7)), 2, 2)"),67.83)</f>
        <v>67.83</v>
      </c>
      <c r="H241" s="9">
        <f t="shared" ca="1" si="0"/>
        <v>1.8468468468468529</v>
      </c>
      <c r="I241" s="10">
        <f t="shared" ca="1" si="1"/>
        <v>18.468468468468529</v>
      </c>
      <c r="J241" s="10" t="str">
        <f t="shared" si="2"/>
        <v>Put Spread</v>
      </c>
      <c r="K241" s="10" t="str">
        <f t="shared" ca="1" si="3"/>
        <v>Success</v>
      </c>
    </row>
    <row r="242" spans="1:11" ht="16">
      <c r="A242" s="1" t="s">
        <v>261</v>
      </c>
      <c r="B242" s="7" t="s">
        <v>14</v>
      </c>
      <c r="C242" s="8">
        <v>1.49</v>
      </c>
      <c r="D242" s="8" t="s">
        <v>15</v>
      </c>
      <c r="E242" s="8">
        <v>1.1299999999999999</v>
      </c>
      <c r="F242" s="8">
        <f ca="1">IFERROR(__xludf.DUMMYFUNCTION("INDEX(GOOGLEFINANCE(A242, ""open"", DATE(2025,2,3), DATE(2025,2,3)), 2, 2)"),1.26)</f>
        <v>1.26</v>
      </c>
      <c r="G242" s="8">
        <f ca="1">IFERROR(__xludf.DUMMYFUNCTION("INDEX(GOOGLEFINANCE(A242, ""close"", DATE(2025,2,7), DATE(2025,2,7)), 2, 2)"),1.25)</f>
        <v>1.25</v>
      </c>
      <c r="H242" s="9">
        <f t="shared" ca="1" si="0"/>
        <v>-0.79365079365079427</v>
      </c>
      <c r="I242" s="10">
        <f t="shared" ca="1" si="1"/>
        <v>-7.936507936507943</v>
      </c>
      <c r="J242" s="10" t="str">
        <f t="shared" si="2"/>
        <v>Put Spread</v>
      </c>
      <c r="K242" s="10" t="str">
        <f t="shared" ca="1" si="3"/>
        <v>Success</v>
      </c>
    </row>
    <row r="243" spans="1:11" ht="16">
      <c r="A243" s="1" t="s">
        <v>262</v>
      </c>
      <c r="B243" s="7" t="s">
        <v>38</v>
      </c>
      <c r="C243" s="8">
        <v>29.28</v>
      </c>
      <c r="D243" s="8" t="s">
        <v>39</v>
      </c>
      <c r="E243" s="8">
        <v>31.88</v>
      </c>
      <c r="F243" s="8">
        <f ca="1">IFERROR(__xludf.DUMMYFUNCTION("INDEX(GOOGLEFINANCE(A243, ""open"", DATE(2025,2,3), DATE(2025,2,3)), 2, 2)"),29.56)</f>
        <v>29.56</v>
      </c>
      <c r="G243" s="8">
        <f ca="1">IFERROR(__xludf.DUMMYFUNCTION("INDEX(GOOGLEFINANCE(A243, ""close"", DATE(2025,2,7), DATE(2025,2,7)), 2, 2)"),32.54)</f>
        <v>32.54</v>
      </c>
      <c r="H243" s="9">
        <f t="shared" ca="1" si="0"/>
        <v>-10.081190798376186</v>
      </c>
      <c r="I243" s="10">
        <f t="shared" ca="1" si="1"/>
        <v>-100.81190798376187</v>
      </c>
      <c r="J243" s="10" t="str">
        <f t="shared" si="2"/>
        <v>Call Spread</v>
      </c>
      <c r="K243" s="10" t="str">
        <f t="shared" ca="1" si="3"/>
        <v>No</v>
      </c>
    </row>
    <row r="244" spans="1:11" ht="16">
      <c r="A244" s="1" t="s">
        <v>263</v>
      </c>
      <c r="B244" s="7" t="s">
        <v>14</v>
      </c>
      <c r="C244" s="8">
        <v>9.31</v>
      </c>
      <c r="D244" s="8" t="s">
        <v>15</v>
      </c>
      <c r="E244" s="8">
        <v>8.01</v>
      </c>
      <c r="F244" s="8">
        <f ca="1">IFERROR(__xludf.DUMMYFUNCTION("INDEX(GOOGLEFINANCE(A244, ""open"", DATE(2025,2,3), DATE(2025,2,3)), 2, 2)"),9.13)</f>
        <v>9.1300000000000008</v>
      </c>
      <c r="G244" s="8">
        <f ca="1">IFERROR(__xludf.DUMMYFUNCTION("INDEX(GOOGLEFINANCE(A244, ""close"", DATE(2025,2,7), DATE(2025,2,7)), 2, 2)"),8.38)</f>
        <v>8.3800000000000008</v>
      </c>
      <c r="H244" s="9">
        <f t="shared" ca="1" si="0"/>
        <v>-8.214676889375685</v>
      </c>
      <c r="I244" s="10">
        <f t="shared" ca="1" si="1"/>
        <v>-82.146768893756857</v>
      </c>
      <c r="J244" s="10" t="str">
        <f t="shared" si="2"/>
        <v>Put Spread</v>
      </c>
      <c r="K244" s="10" t="str">
        <f t="shared" ca="1" si="3"/>
        <v>Success</v>
      </c>
    </row>
    <row r="245" spans="1:11" ht="16">
      <c r="A245" s="1" t="s">
        <v>264</v>
      </c>
      <c r="B245" s="7" t="s">
        <v>14</v>
      </c>
      <c r="C245" s="8">
        <v>44.07</v>
      </c>
      <c r="D245" s="8" t="s">
        <v>15</v>
      </c>
      <c r="E245" s="8">
        <v>41.37</v>
      </c>
      <c r="F245" s="8">
        <f ca="1">IFERROR(__xludf.DUMMYFUNCTION("INDEX(GOOGLEFINANCE(A245, ""open"", DATE(2025,2,3), DATE(2025,2,3)), 2, 2)"),42.02)</f>
        <v>42.02</v>
      </c>
      <c r="G245" s="8">
        <f ca="1">IFERROR(__xludf.DUMMYFUNCTION("INDEX(GOOGLEFINANCE(A245, ""close"", DATE(2025,2,7), DATE(2025,2,7)), 2, 2)"),43.2)</f>
        <v>43.2</v>
      </c>
      <c r="H245" s="9">
        <f t="shared" ca="1" si="0"/>
        <v>2.8081865778200847</v>
      </c>
      <c r="I245" s="10">
        <f t="shared" ca="1" si="1"/>
        <v>28.08186577820085</v>
      </c>
      <c r="J245" s="10" t="str">
        <f t="shared" si="2"/>
        <v>Put Spread</v>
      </c>
      <c r="K245" s="10" t="str">
        <f t="shared" ca="1" si="3"/>
        <v>Success</v>
      </c>
    </row>
    <row r="246" spans="1:11" ht="16">
      <c r="A246" s="1" t="s">
        <v>265</v>
      </c>
      <c r="B246" s="7" t="s">
        <v>14</v>
      </c>
      <c r="C246" s="8">
        <v>80.61</v>
      </c>
      <c r="D246" s="8" t="s">
        <v>15</v>
      </c>
      <c r="E246" s="8">
        <v>77.87</v>
      </c>
      <c r="F246" s="8">
        <f ca="1">IFERROR(__xludf.DUMMYFUNCTION("INDEX(GOOGLEFINANCE(A246, ""open"", DATE(2025,2,3), DATE(2025,2,3)), 2, 2)"),77.91)</f>
        <v>77.91</v>
      </c>
      <c r="G246" s="8">
        <f ca="1">IFERROR(__xludf.DUMMYFUNCTION("INDEX(GOOGLEFINANCE(A246, ""close"", DATE(2025,2,7), DATE(2025,2,7)), 2, 2)"),79.61)</f>
        <v>79.61</v>
      </c>
      <c r="H246" s="9">
        <f t="shared" ca="1" si="0"/>
        <v>2.182004877422671</v>
      </c>
      <c r="I246" s="10">
        <f t="shared" ca="1" si="1"/>
        <v>21.820048774226713</v>
      </c>
      <c r="J246" s="10" t="str">
        <f t="shared" si="2"/>
        <v>Put Spread</v>
      </c>
      <c r="K246" s="10" t="str">
        <f t="shared" ca="1" si="3"/>
        <v>Success</v>
      </c>
    </row>
    <row r="247" spans="1:11" ht="16">
      <c r="A247" s="1" t="s">
        <v>266</v>
      </c>
      <c r="B247" s="7" t="s">
        <v>14</v>
      </c>
      <c r="C247" s="8">
        <v>16.149999999999999</v>
      </c>
      <c r="D247" s="8" t="s">
        <v>15</v>
      </c>
      <c r="E247" s="8">
        <v>14.33</v>
      </c>
      <c r="F247" s="8">
        <f ca="1">IFERROR(__xludf.DUMMYFUNCTION("INDEX(GOOGLEFINANCE(A247, ""open"", DATE(2025,2,3), DATE(2025,2,3)), 2, 2)"),15.23)</f>
        <v>15.23</v>
      </c>
      <c r="G247" s="8">
        <f ca="1">IFERROR(__xludf.DUMMYFUNCTION("INDEX(GOOGLEFINANCE(A247, ""close"", DATE(2025,2,7), DATE(2025,2,7)), 2, 2)"),13.93)</f>
        <v>13.93</v>
      </c>
      <c r="H247" s="9">
        <f t="shared" ca="1" si="0"/>
        <v>-8.5357846355876603</v>
      </c>
      <c r="I247" s="10">
        <f t="shared" ca="1" si="1"/>
        <v>-85.357846355876603</v>
      </c>
      <c r="J247" s="10" t="str">
        <f t="shared" si="2"/>
        <v>Put Spread</v>
      </c>
      <c r="K247" s="10" t="str">
        <f t="shared" ca="1" si="3"/>
        <v>No</v>
      </c>
    </row>
    <row r="248" spans="1:11" ht="16">
      <c r="A248" s="1" t="s">
        <v>267</v>
      </c>
      <c r="B248" s="7" t="s">
        <v>38</v>
      </c>
      <c r="C248" s="8">
        <v>15.12</v>
      </c>
      <c r="D248" s="8" t="s">
        <v>39</v>
      </c>
      <c r="E248" s="8">
        <v>18.86</v>
      </c>
      <c r="F248" s="8">
        <f ca="1">IFERROR(__xludf.DUMMYFUNCTION("INDEX(GOOGLEFINANCE(A248, ""open"", DATE(2025,2,3), DATE(2025,2,3)), 2, 2)"),16.38)</f>
        <v>16.38</v>
      </c>
      <c r="G248" s="8">
        <f ca="1">IFERROR(__xludf.DUMMYFUNCTION("INDEX(GOOGLEFINANCE(A248, ""close"", DATE(2025,2,7), DATE(2025,2,7)), 2, 2)"),20.4)</f>
        <v>20.399999999999999</v>
      </c>
      <c r="H248" s="9">
        <f t="shared" ca="1" si="0"/>
        <v>-24.54212454212454</v>
      </c>
      <c r="I248" s="10">
        <f t="shared" ca="1" si="1"/>
        <v>-245.4212454212454</v>
      </c>
      <c r="J248" s="10" t="str">
        <f t="shared" si="2"/>
        <v>Call Spread</v>
      </c>
      <c r="K248" s="10" t="str">
        <f t="shared" ca="1" si="3"/>
        <v>No</v>
      </c>
    </row>
    <row r="249" spans="1:11" ht="16">
      <c r="A249" s="1" t="s">
        <v>268</v>
      </c>
      <c r="B249" s="7" t="s">
        <v>14</v>
      </c>
      <c r="C249" s="8">
        <v>89.71</v>
      </c>
      <c r="D249" s="8" t="s">
        <v>15</v>
      </c>
      <c r="E249" s="8">
        <v>77.150000000000006</v>
      </c>
      <c r="F249" s="8">
        <f ca="1">IFERROR(__xludf.DUMMYFUNCTION("INDEX(GOOGLEFINANCE(A249, ""open"", DATE(2025,2,3), DATE(2025,2,3)), 2, 2)"),81.61)</f>
        <v>81.61</v>
      </c>
      <c r="G249" s="8">
        <f ca="1">IFERROR(__xludf.DUMMYFUNCTION("INDEX(GOOGLEFINANCE(A249, ""close"", DATE(2025,2,7), DATE(2025,2,7)), 2, 2)"),65.03)</f>
        <v>65.03</v>
      </c>
      <c r="H249" s="9">
        <f t="shared" ca="1" si="0"/>
        <v>-20.31613772821958</v>
      </c>
      <c r="I249" s="10">
        <f t="shared" ca="1" si="1"/>
        <v>-203.16137728219579</v>
      </c>
      <c r="J249" s="10" t="str">
        <f t="shared" si="2"/>
        <v>Put Spread</v>
      </c>
      <c r="K249" s="10" t="str">
        <f t="shared" ca="1" si="3"/>
        <v>No</v>
      </c>
    </row>
    <row r="250" spans="1:11" ht="16">
      <c r="A250" s="1" t="s">
        <v>269</v>
      </c>
      <c r="B250" s="7" t="s">
        <v>38</v>
      </c>
      <c r="C250" s="8">
        <v>89.22</v>
      </c>
      <c r="D250" s="8" t="s">
        <v>39</v>
      </c>
      <c r="E250" s="8">
        <v>110.6</v>
      </c>
      <c r="F250" s="8">
        <f ca="1">IFERROR(__xludf.DUMMYFUNCTION("INDEX(GOOGLEFINANCE(A250, ""open"", DATE(2025,2,3), DATE(2025,2,3)), 2, 2)"),94.74)</f>
        <v>94.74</v>
      </c>
      <c r="G250" s="8">
        <f ca="1">IFERROR(__xludf.DUMMYFUNCTION("INDEX(GOOGLEFINANCE(A250, ""close"", DATE(2025,2,7), DATE(2025,2,7)), 2, 2)"),71.13)</f>
        <v>71.13</v>
      </c>
      <c r="H250" s="9">
        <f t="shared" ca="1" si="0"/>
        <v>24.920835972134263</v>
      </c>
      <c r="I250" s="10">
        <f t="shared" ca="1" si="1"/>
        <v>249.20835972134265</v>
      </c>
      <c r="J250" s="10" t="str">
        <f t="shared" si="2"/>
        <v>Call Spread</v>
      </c>
      <c r="K250" s="10" t="str">
        <f t="shared" ca="1" si="3"/>
        <v>Success</v>
      </c>
    </row>
    <row r="251" spans="1:11" ht="16">
      <c r="A251" s="1" t="s">
        <v>270</v>
      </c>
      <c r="B251" s="7" t="s">
        <v>38</v>
      </c>
      <c r="C251" s="8">
        <v>381.29</v>
      </c>
      <c r="D251" s="8" t="s">
        <v>39</v>
      </c>
      <c r="E251" s="8">
        <v>410.11</v>
      </c>
      <c r="F251" s="8">
        <f ca="1">IFERROR(__xludf.DUMMYFUNCTION("INDEX(GOOGLEFINANCE(A251, ""open"", DATE(2025,2,3), DATE(2025,2,3)), 2, 2)"),396.05)</f>
        <v>396.05</v>
      </c>
      <c r="G251" s="8">
        <f ca="1">IFERROR(__xludf.DUMMYFUNCTION("INDEX(GOOGLEFINANCE(A251, ""close"", DATE(2025,2,7), DATE(2025,2,7)), 2, 2)"),391.42)</f>
        <v>391.42</v>
      </c>
      <c r="H251" s="9">
        <f t="shared" ca="1" si="0"/>
        <v>1.1690443125867933</v>
      </c>
      <c r="I251" s="10">
        <f t="shared" ca="1" si="1"/>
        <v>11.690443125867933</v>
      </c>
      <c r="J251" s="10" t="str">
        <f t="shared" si="2"/>
        <v>Call Spread</v>
      </c>
      <c r="K251" s="10" t="str">
        <f t="shared" ca="1" si="3"/>
        <v>Success</v>
      </c>
    </row>
    <row r="252" spans="1:11" ht="16">
      <c r="A252" s="1" t="s">
        <v>271</v>
      </c>
      <c r="B252" s="7" t="s">
        <v>38</v>
      </c>
      <c r="C252" s="8">
        <v>88.89</v>
      </c>
      <c r="D252" s="8" t="s">
        <v>39</v>
      </c>
      <c r="E252" s="8">
        <v>92.21</v>
      </c>
      <c r="F252" s="8">
        <f ca="1">IFERROR(__xludf.DUMMYFUNCTION("INDEX(GOOGLEFINANCE(A252, ""open"", DATE(2025,2,3), DATE(2025,2,3)), 2, 2)"),89.92)</f>
        <v>89.92</v>
      </c>
      <c r="G252" s="8">
        <f ca="1">IFERROR(__xludf.DUMMYFUNCTION("INDEX(GOOGLEFINANCE(A252, ""close"", DATE(2025,2,7), DATE(2025,2,7)), 2, 2)"),90.65)</f>
        <v>90.65</v>
      </c>
      <c r="H252" s="9">
        <f t="shared" ca="1" si="0"/>
        <v>-0.81183274021352747</v>
      </c>
      <c r="I252" s="10">
        <f t="shared" ca="1" si="1"/>
        <v>-8.1183274021352752</v>
      </c>
      <c r="J252" s="10" t="str">
        <f t="shared" si="2"/>
        <v>Call Spread</v>
      </c>
      <c r="K252" s="10" t="str">
        <f t="shared" ca="1" si="3"/>
        <v>Success</v>
      </c>
    </row>
    <row r="253" spans="1:11" ht="16">
      <c r="A253" s="1" t="s">
        <v>272</v>
      </c>
      <c r="B253" s="7" t="s">
        <v>14</v>
      </c>
      <c r="C253" s="8">
        <v>135.5</v>
      </c>
      <c r="D253" s="8" t="s">
        <v>15</v>
      </c>
      <c r="E253" s="8">
        <v>124.4</v>
      </c>
      <c r="F253" s="8">
        <f ca="1">IFERROR(__xludf.DUMMYFUNCTION("INDEX(GOOGLEFINANCE(A253, ""open"", DATE(2025,2,3), DATE(2025,2,3)), 2, 2)"),126.87)</f>
        <v>126.87</v>
      </c>
      <c r="G253" s="8">
        <f ca="1">IFERROR(__xludf.DUMMYFUNCTION("INDEX(GOOGLEFINANCE(A253, ""close"", DATE(2025,2,7), DATE(2025,2,7)), 2, 2)"),124.37)</f>
        <v>124.37</v>
      </c>
      <c r="H253" s="9">
        <f t="shared" ca="1" si="0"/>
        <v>-1.9705210057539213</v>
      </c>
      <c r="I253" s="10">
        <f t="shared" ca="1" si="1"/>
        <v>-19.705210057539215</v>
      </c>
      <c r="J253" s="10" t="str">
        <f t="shared" si="2"/>
        <v>Put Spread</v>
      </c>
      <c r="K253" s="10" t="str">
        <f t="shared" ca="1" si="3"/>
        <v>No</v>
      </c>
    </row>
    <row r="254" spans="1:11" ht="16">
      <c r="A254" s="1" t="s">
        <v>273</v>
      </c>
      <c r="B254" s="7" t="s">
        <v>38</v>
      </c>
      <c r="C254" s="8">
        <v>55.86</v>
      </c>
      <c r="D254" s="8" t="s">
        <v>39</v>
      </c>
      <c r="E254" s="8">
        <v>68.7</v>
      </c>
      <c r="F254" s="8">
        <f ca="1">IFERROR(__xludf.DUMMYFUNCTION("INDEX(GOOGLEFINANCE(A254, ""open"", DATE(2025,2,3), DATE(2025,2,3)), 2, 2)"),59.6)</f>
        <v>59.6</v>
      </c>
      <c r="G254" s="8">
        <f ca="1">IFERROR(__xludf.DUMMYFUNCTION("INDEX(GOOGLEFINANCE(A254, ""close"", DATE(2025,2,7), DATE(2025,2,7)), 2, 2)"),63.53)</f>
        <v>63.53</v>
      </c>
      <c r="H254" s="9">
        <f t="shared" ca="1" si="0"/>
        <v>-6.5939597315436238</v>
      </c>
      <c r="I254" s="10">
        <f t="shared" ca="1" si="1"/>
        <v>-65.939597315436245</v>
      </c>
      <c r="J254" s="10" t="str">
        <f t="shared" si="2"/>
        <v>Call Spread</v>
      </c>
      <c r="K254" s="10" t="str">
        <f t="shared" ca="1" si="3"/>
        <v>Success</v>
      </c>
    </row>
    <row r="255" spans="1:11" ht="16">
      <c r="A255" s="1" t="s">
        <v>274</v>
      </c>
      <c r="B255" s="7" t="s">
        <v>14</v>
      </c>
      <c r="C255" s="8">
        <v>13.54</v>
      </c>
      <c r="D255" s="8" t="s">
        <v>15</v>
      </c>
      <c r="E255" s="8">
        <v>10.58</v>
      </c>
      <c r="F255" s="8">
        <f ca="1">IFERROR(__xludf.DUMMYFUNCTION("INDEX(GOOGLEFINANCE(A255, ""open"", DATE(2025,2,3), DATE(2025,2,3)), 2, 2)"),11.4)</f>
        <v>11.4</v>
      </c>
      <c r="G255" s="8">
        <f ca="1">IFERROR(__xludf.DUMMYFUNCTION("INDEX(GOOGLEFINANCE(A255, ""close"", DATE(2025,2,7), DATE(2025,2,7)), 2, 2)"),11.78)</f>
        <v>11.78</v>
      </c>
      <c r="H255" s="9">
        <f t="shared" ca="1" si="0"/>
        <v>3.3333333333333242</v>
      </c>
      <c r="I255" s="10">
        <f t="shared" ca="1" si="1"/>
        <v>33.333333333333236</v>
      </c>
      <c r="J255" s="10" t="str">
        <f t="shared" si="2"/>
        <v>Put Spread</v>
      </c>
      <c r="K255" s="10" t="str">
        <f t="shared" ca="1" si="3"/>
        <v>Success</v>
      </c>
    </row>
    <row r="256" spans="1:11" ht="16">
      <c r="A256" s="1" t="s">
        <v>275</v>
      </c>
      <c r="B256" s="7" t="s">
        <v>14</v>
      </c>
      <c r="C256" s="8">
        <v>6.93</v>
      </c>
      <c r="D256" s="8" t="s">
        <v>15</v>
      </c>
      <c r="E256" s="8">
        <v>4.55</v>
      </c>
      <c r="F256" s="8">
        <f ca="1">IFERROR(__xludf.DUMMYFUNCTION("INDEX(GOOGLEFINANCE(A256, ""open"", DATE(2025,2,3), DATE(2025,2,3)), 2, 2)"),5.36)</f>
        <v>5.36</v>
      </c>
      <c r="G256" s="8">
        <f ca="1">IFERROR(__xludf.DUMMYFUNCTION("INDEX(GOOGLEFINANCE(A256, ""close"", DATE(2025,2,7), DATE(2025,2,7)), 2, 2)"),5.33)</f>
        <v>5.33</v>
      </c>
      <c r="H256" s="9">
        <f t="shared" ca="1" si="0"/>
        <v>-0.55970149253731805</v>
      </c>
      <c r="I256" s="10">
        <f t="shared" ca="1" si="1"/>
        <v>-5.5970149253731805</v>
      </c>
      <c r="J256" s="10" t="str">
        <f t="shared" si="2"/>
        <v>Put Spread</v>
      </c>
      <c r="K256" s="10" t="str">
        <f t="shared" ca="1" si="3"/>
        <v>Success</v>
      </c>
    </row>
    <row r="257" spans="1:11" ht="16">
      <c r="A257" s="1" t="s">
        <v>276</v>
      </c>
      <c r="B257" s="7" t="s">
        <v>14</v>
      </c>
      <c r="C257" s="8">
        <v>33.53</v>
      </c>
      <c r="D257" s="8" t="s">
        <v>15</v>
      </c>
      <c r="E257" s="8">
        <v>31.77</v>
      </c>
      <c r="F257" s="8">
        <f ca="1">IFERROR(__xludf.DUMMYFUNCTION("INDEX(GOOGLEFINANCE(A257, ""open"", DATE(2025,2,3), DATE(2025,2,3)), 2, 2)"),31.59)</f>
        <v>31.59</v>
      </c>
      <c r="G257" s="8">
        <f ca="1">IFERROR(__xludf.DUMMYFUNCTION("INDEX(GOOGLEFINANCE(A257, ""close"", DATE(2025,2,7), DATE(2025,2,7)), 2, 2)"),32.93)</f>
        <v>32.93</v>
      </c>
      <c r="H257" s="9">
        <f t="shared" ca="1" si="0"/>
        <v>4.2418486862931299</v>
      </c>
      <c r="I257" s="10">
        <f t="shared" ca="1" si="1"/>
        <v>42.418486862931296</v>
      </c>
      <c r="J257" s="10" t="str">
        <f t="shared" si="2"/>
        <v>Put Spread</v>
      </c>
      <c r="K257" s="10" t="str">
        <f t="shared" ca="1" si="3"/>
        <v>Success</v>
      </c>
    </row>
    <row r="258" spans="1:11" ht="16">
      <c r="A258" s="1" t="s">
        <v>277</v>
      </c>
      <c r="B258" s="7" t="s">
        <v>14</v>
      </c>
      <c r="C258" s="8">
        <v>53.32</v>
      </c>
      <c r="D258" s="8" t="s">
        <v>15</v>
      </c>
      <c r="E258" s="8">
        <v>48.92</v>
      </c>
      <c r="F258" s="8">
        <f ca="1">IFERROR(__xludf.DUMMYFUNCTION("INDEX(GOOGLEFINANCE(A258, ""open"", DATE(2025,2,3), DATE(2025,2,3)), 2, 2)"),51.81)</f>
        <v>51.81</v>
      </c>
      <c r="G258" s="8">
        <f ca="1">IFERROR(__xludf.DUMMYFUNCTION("INDEX(GOOGLEFINANCE(A258, ""close"", DATE(2025,2,7), DATE(2025,2,7)), 2, 2)"),51.11)</f>
        <v>51.11</v>
      </c>
      <c r="H258" s="9">
        <f t="shared" ref="H258:H512" ca="1" si="4">IF(B258="Bullish",((G258-F258)/F258*100),((F258-G258)/F258*100))</f>
        <v>-1.3510905230650507</v>
      </c>
      <c r="I258" s="10">
        <f t="shared" ref="I258:I512" ca="1" si="5">1000*H258/100</f>
        <v>-13.510905230650508</v>
      </c>
      <c r="J258" s="10" t="str">
        <f t="shared" ref="J258:J512" si="6">IF(B258="Bullish","Put Spread","Call Spread")</f>
        <v>Put Spread</v>
      </c>
      <c r="K258" s="10" t="str">
        <f t="shared" ref="K258:K512" ca="1" si="7">IF(B258="Bullish",IF(G258-E258&gt;0,"Success","No"),IF(B258="Bearish",IF(E258-G258&gt;0,"Success","No")))</f>
        <v>Success</v>
      </c>
    </row>
    <row r="259" spans="1:11" ht="16">
      <c r="A259" s="1" t="s">
        <v>278</v>
      </c>
      <c r="B259" s="7" t="s">
        <v>14</v>
      </c>
      <c r="C259" s="8">
        <v>6.51</v>
      </c>
      <c r="D259" s="8" t="s">
        <v>15</v>
      </c>
      <c r="E259" s="8">
        <v>5.63</v>
      </c>
      <c r="F259" s="8">
        <f ca="1">IFERROR(__xludf.DUMMYFUNCTION("INDEX(GOOGLEFINANCE(A259, ""open"", DATE(2025,2,3), DATE(2025,2,3)), 2, 2)"),6.11)</f>
        <v>6.11</v>
      </c>
      <c r="G259" s="8">
        <f ca="1">IFERROR(__xludf.DUMMYFUNCTION("INDEX(GOOGLEFINANCE(A259, ""close"", DATE(2025,2,7), DATE(2025,2,7)), 2, 2)"),6.63)</f>
        <v>6.63</v>
      </c>
      <c r="H259" s="9">
        <f t="shared" ca="1" si="4"/>
        <v>8.5106382978723332</v>
      </c>
      <c r="I259" s="10">
        <f t="shared" ca="1" si="5"/>
        <v>85.106382978723346</v>
      </c>
      <c r="J259" s="10" t="str">
        <f t="shared" si="6"/>
        <v>Put Spread</v>
      </c>
      <c r="K259" s="10" t="str">
        <f t="shared" ca="1" si="7"/>
        <v>Success</v>
      </c>
    </row>
    <row r="260" spans="1:11" ht="16">
      <c r="A260" s="1" t="s">
        <v>279</v>
      </c>
      <c r="B260" s="7" t="s">
        <v>14</v>
      </c>
      <c r="C260" s="8">
        <v>43.32</v>
      </c>
      <c r="D260" s="8" t="s">
        <v>15</v>
      </c>
      <c r="E260" s="8">
        <v>38.619999999999997</v>
      </c>
      <c r="F260" s="8">
        <f ca="1">IFERROR(__xludf.DUMMYFUNCTION("INDEX(GOOGLEFINANCE(A260, ""open"", DATE(2025,2,3), DATE(2025,2,3)), 2, 2)"),39.75)</f>
        <v>39.75</v>
      </c>
      <c r="G260" s="8">
        <f ca="1">IFERROR(__xludf.DUMMYFUNCTION("INDEX(GOOGLEFINANCE(A260, ""close"", DATE(2025,2,7), DATE(2025,2,7)), 2, 2)"),43.01)</f>
        <v>43.01</v>
      </c>
      <c r="H260" s="9">
        <f t="shared" ca="1" si="4"/>
        <v>8.2012578616352148</v>
      </c>
      <c r="I260" s="10">
        <f t="shared" ca="1" si="5"/>
        <v>82.012578616352144</v>
      </c>
      <c r="J260" s="10" t="str">
        <f t="shared" si="6"/>
        <v>Put Spread</v>
      </c>
      <c r="K260" s="10" t="str">
        <f t="shared" ca="1" si="7"/>
        <v>Success</v>
      </c>
    </row>
    <row r="261" spans="1:11" ht="16">
      <c r="A261" s="1" t="s">
        <v>280</v>
      </c>
      <c r="B261" s="7" t="s">
        <v>14</v>
      </c>
      <c r="C261" s="8">
        <v>60.92</v>
      </c>
      <c r="D261" s="8" t="s">
        <v>15</v>
      </c>
      <c r="E261" s="8">
        <v>54.8</v>
      </c>
      <c r="F261" s="8">
        <f ca="1">IFERROR(__xludf.DUMMYFUNCTION("INDEX(GOOGLEFINANCE(A261, ""open"", DATE(2025,2,3), DATE(2025,2,3)), 2, 2)"),57.77)</f>
        <v>57.77</v>
      </c>
      <c r="G261" s="8">
        <f ca="1">IFERROR(__xludf.DUMMYFUNCTION("INDEX(GOOGLEFINANCE(A261, ""close"", DATE(2025,2,7), DATE(2025,2,7)), 2, 2)"),58.91)</f>
        <v>58.91</v>
      </c>
      <c r="H261" s="9">
        <f t="shared" ca="1" si="4"/>
        <v>1.9733425653453236</v>
      </c>
      <c r="I261" s="10">
        <f t="shared" ca="1" si="5"/>
        <v>19.733425653453239</v>
      </c>
      <c r="J261" s="10" t="str">
        <f t="shared" si="6"/>
        <v>Put Spread</v>
      </c>
      <c r="K261" s="10" t="str">
        <f t="shared" ca="1" si="7"/>
        <v>Success</v>
      </c>
    </row>
    <row r="262" spans="1:11" ht="16">
      <c r="A262" s="1" t="s">
        <v>281</v>
      </c>
      <c r="B262" s="7" t="s">
        <v>14</v>
      </c>
      <c r="C262" s="8">
        <v>90.37</v>
      </c>
      <c r="D262" s="8" t="s">
        <v>15</v>
      </c>
      <c r="E262" s="8">
        <v>83.97</v>
      </c>
      <c r="F262" s="8">
        <f ca="1">IFERROR(__xludf.DUMMYFUNCTION("INDEX(GOOGLEFINANCE(A262, ""open"", DATE(2025,2,3), DATE(2025,2,3)), 2, 2)"),86.53)</f>
        <v>86.53</v>
      </c>
      <c r="G262" s="8">
        <f ca="1">IFERROR(__xludf.DUMMYFUNCTION("INDEX(GOOGLEFINANCE(A262, ""close"", DATE(2025,2,7), DATE(2025,2,7)), 2, 2)"),90.27)</f>
        <v>90.27</v>
      </c>
      <c r="H262" s="9">
        <f t="shared" ca="1" si="4"/>
        <v>4.3222003929273018</v>
      </c>
      <c r="I262" s="10">
        <f t="shared" ca="1" si="5"/>
        <v>43.222003929273015</v>
      </c>
      <c r="J262" s="10" t="str">
        <f t="shared" si="6"/>
        <v>Put Spread</v>
      </c>
      <c r="K262" s="10" t="str">
        <f t="shared" ca="1" si="7"/>
        <v>Success</v>
      </c>
    </row>
    <row r="263" spans="1:11" ht="16">
      <c r="A263" s="1" t="s">
        <v>282</v>
      </c>
      <c r="B263" s="7" t="s">
        <v>14</v>
      </c>
      <c r="C263" s="8">
        <v>122.19</v>
      </c>
      <c r="D263" s="8" t="s">
        <v>15</v>
      </c>
      <c r="E263" s="8">
        <v>102.97</v>
      </c>
      <c r="F263" s="8">
        <f ca="1">IFERROR(__xludf.DUMMYFUNCTION("INDEX(GOOGLEFINANCE(A263, ""open"", DATE(2025,2,3), DATE(2025,2,3)), 2, 2)"),108.48)</f>
        <v>108.48</v>
      </c>
      <c r="G263" s="8">
        <f ca="1">IFERROR(__xludf.DUMMYFUNCTION("INDEX(GOOGLEFINANCE(A263, ""close"", DATE(2025,2,7), DATE(2025,2,7)), 2, 2)"),112.96)</f>
        <v>112.96</v>
      </c>
      <c r="H263" s="9">
        <f t="shared" ca="1" si="4"/>
        <v>4.1297935103244736</v>
      </c>
      <c r="I263" s="10">
        <f t="shared" ca="1" si="5"/>
        <v>41.297935103244733</v>
      </c>
      <c r="J263" s="10" t="str">
        <f t="shared" si="6"/>
        <v>Put Spread</v>
      </c>
      <c r="K263" s="10" t="str">
        <f t="shared" ca="1" si="7"/>
        <v>Success</v>
      </c>
    </row>
    <row r="264" spans="1:11" ht="16">
      <c r="A264" s="1" t="s">
        <v>283</v>
      </c>
      <c r="B264" s="7" t="s">
        <v>14</v>
      </c>
      <c r="C264" s="8">
        <v>21.13</v>
      </c>
      <c r="D264" s="8" t="s">
        <v>15</v>
      </c>
      <c r="E264" s="8">
        <v>19.829999999999998</v>
      </c>
      <c r="F264" s="8">
        <f ca="1">IFERROR(__xludf.DUMMYFUNCTION("INDEX(GOOGLEFINANCE(A264, ""open"", DATE(2025,2,3), DATE(2025,2,3)), 2, 2)"),20.15)</f>
        <v>20.149999999999999</v>
      </c>
      <c r="G264" s="8">
        <f ca="1">IFERROR(__xludf.DUMMYFUNCTION("INDEX(GOOGLEFINANCE(A264, ""close"", DATE(2025,2,7), DATE(2025,2,7)), 2, 2)"),19.93)</f>
        <v>19.93</v>
      </c>
      <c r="H264" s="9">
        <f t="shared" ca="1" si="4"/>
        <v>-1.0918114143920541</v>
      </c>
      <c r="I264" s="10">
        <f t="shared" ca="1" si="5"/>
        <v>-10.91811414392054</v>
      </c>
      <c r="J264" s="10" t="str">
        <f t="shared" si="6"/>
        <v>Put Spread</v>
      </c>
      <c r="K264" s="10" t="str">
        <f t="shared" ca="1" si="7"/>
        <v>Success</v>
      </c>
    </row>
    <row r="265" spans="1:11" ht="16">
      <c r="A265" s="1" t="s">
        <v>284</v>
      </c>
      <c r="B265" s="7" t="s">
        <v>38</v>
      </c>
      <c r="C265" s="8">
        <v>312.10000000000002</v>
      </c>
      <c r="D265" s="8" t="s">
        <v>39</v>
      </c>
      <c r="E265" s="8">
        <v>340.78</v>
      </c>
      <c r="F265" s="8">
        <f ca="1">IFERROR(__xludf.DUMMYFUNCTION("INDEX(GOOGLEFINANCE(A265, ""open"", DATE(2025,2,3), DATE(2025,2,3)), 2, 2)"),317.34)</f>
        <v>317.33999999999997</v>
      </c>
      <c r="G265" s="8">
        <f ca="1">IFERROR(__xludf.DUMMYFUNCTION("INDEX(GOOGLEFINANCE(A265, ""close"", DATE(2025,2,7), DATE(2025,2,7)), 2, 2)"),313.05)</f>
        <v>313.05</v>
      </c>
      <c r="H265" s="9">
        <f t="shared" ca="1" si="4"/>
        <v>1.3518623558328493</v>
      </c>
      <c r="I265" s="10">
        <f t="shared" ca="1" si="5"/>
        <v>13.518623558328493</v>
      </c>
      <c r="J265" s="10" t="str">
        <f t="shared" si="6"/>
        <v>Call Spread</v>
      </c>
      <c r="K265" s="10" t="str">
        <f t="shared" ca="1" si="7"/>
        <v>Success</v>
      </c>
    </row>
    <row r="266" spans="1:11" ht="16">
      <c r="A266" s="1" t="s">
        <v>285</v>
      </c>
      <c r="B266" s="7" t="s">
        <v>14</v>
      </c>
      <c r="C266" s="8">
        <v>59.02</v>
      </c>
      <c r="D266" s="8" t="s">
        <v>15</v>
      </c>
      <c r="E266" s="8">
        <v>50.8</v>
      </c>
      <c r="F266" s="8">
        <f ca="1">IFERROR(__xludf.DUMMYFUNCTION("INDEX(GOOGLEFINANCE(A266, ""open"", DATE(2025,2,3), DATE(2025,2,3)), 2, 2)"),57)</f>
        <v>57</v>
      </c>
      <c r="G266" s="8">
        <f ca="1">IFERROR(__xludf.DUMMYFUNCTION("INDEX(GOOGLEFINANCE(A266, ""close"", DATE(2025,2,7), DATE(2025,2,7)), 2, 2)"),54.4)</f>
        <v>54.4</v>
      </c>
      <c r="H266" s="9">
        <f t="shared" ca="1" si="4"/>
        <v>-4.5614035087719325</v>
      </c>
      <c r="I266" s="10">
        <f t="shared" ca="1" si="5"/>
        <v>-45.614035087719323</v>
      </c>
      <c r="J266" s="10" t="str">
        <f t="shared" si="6"/>
        <v>Put Spread</v>
      </c>
      <c r="K266" s="10" t="str">
        <f t="shared" ca="1" si="7"/>
        <v>Success</v>
      </c>
    </row>
    <row r="267" spans="1:11" ht="16">
      <c r="A267" s="1" t="s">
        <v>286</v>
      </c>
      <c r="B267" s="7" t="s">
        <v>38</v>
      </c>
      <c r="C267" s="8">
        <v>33.83</v>
      </c>
      <c r="D267" s="8" t="s">
        <v>39</v>
      </c>
      <c r="E267" s="8">
        <v>35.43</v>
      </c>
      <c r="F267" s="8">
        <f ca="1">IFERROR(__xludf.DUMMYFUNCTION("INDEX(GOOGLEFINANCE(A267, ""open"", DATE(2025,2,3), DATE(2025,2,3)), 2, 2)"),33.75)</f>
        <v>33.75</v>
      </c>
      <c r="G267" s="8">
        <f ca="1">IFERROR(__xludf.DUMMYFUNCTION("INDEX(GOOGLEFINANCE(A267, ""close"", DATE(2025,2,7), DATE(2025,2,7)), 2, 2)"),34.64)</f>
        <v>34.64</v>
      </c>
      <c r="H267" s="9">
        <f t="shared" ca="1" si="4"/>
        <v>-2.6370370370370386</v>
      </c>
      <c r="I267" s="10">
        <f t="shared" ca="1" si="5"/>
        <v>-26.370370370370388</v>
      </c>
      <c r="J267" s="10" t="str">
        <f t="shared" si="6"/>
        <v>Call Spread</v>
      </c>
      <c r="K267" s="10" t="str">
        <f t="shared" ca="1" si="7"/>
        <v>Success</v>
      </c>
    </row>
    <row r="268" spans="1:11" ht="16">
      <c r="A268" s="1" t="s">
        <v>287</v>
      </c>
      <c r="B268" s="7" t="s">
        <v>14</v>
      </c>
      <c r="C268" s="8">
        <v>16.93</v>
      </c>
      <c r="D268" s="8" t="s">
        <v>15</v>
      </c>
      <c r="E268" s="8">
        <v>16.07</v>
      </c>
      <c r="F268" s="8">
        <f ca="1">IFERROR(__xludf.DUMMYFUNCTION("INDEX(GOOGLEFINANCE(A268, ""open"", DATE(2025,2,3), DATE(2025,2,3)), 2, 2)"),16.27)</f>
        <v>16.27</v>
      </c>
      <c r="G268" s="8">
        <f ca="1">IFERROR(__xludf.DUMMYFUNCTION("INDEX(GOOGLEFINANCE(A268, ""close"", DATE(2025,2,7), DATE(2025,2,7)), 2, 2)"),16.21)</f>
        <v>16.21</v>
      </c>
      <c r="H268" s="9">
        <f t="shared" ca="1" si="4"/>
        <v>-0.36877688998155328</v>
      </c>
      <c r="I268" s="10">
        <f t="shared" ca="1" si="5"/>
        <v>-3.6877688998155325</v>
      </c>
      <c r="J268" s="10" t="str">
        <f t="shared" si="6"/>
        <v>Put Spread</v>
      </c>
      <c r="K268" s="10" t="str">
        <f t="shared" ca="1" si="7"/>
        <v>Success</v>
      </c>
    </row>
    <row r="269" spans="1:11" ht="16">
      <c r="A269" s="1" t="s">
        <v>288</v>
      </c>
      <c r="B269" s="7" t="s">
        <v>14</v>
      </c>
      <c r="C269" s="8">
        <v>69.900000000000006</v>
      </c>
      <c r="D269" s="8" t="s">
        <v>15</v>
      </c>
      <c r="E269" s="8">
        <v>66.72</v>
      </c>
      <c r="F269" s="8">
        <f ca="1">IFERROR(__xludf.DUMMYFUNCTION("INDEX(GOOGLEFINANCE(A269, ""open"", DATE(2025,2,3), DATE(2025,2,3)), 2, 2)"),67.49)</f>
        <v>67.489999999999995</v>
      </c>
      <c r="G269" s="8">
        <f ca="1">IFERROR(__xludf.DUMMYFUNCTION("INDEX(GOOGLEFINANCE(A269, ""close"", DATE(2025,2,7), DATE(2025,2,7)), 2, 2)"),68.48)</f>
        <v>68.48</v>
      </c>
      <c r="H269" s="9">
        <f t="shared" ca="1" si="4"/>
        <v>1.4668839828122822</v>
      </c>
      <c r="I269" s="10">
        <f t="shared" ca="1" si="5"/>
        <v>14.66883982812282</v>
      </c>
      <c r="J269" s="10" t="str">
        <f t="shared" si="6"/>
        <v>Put Spread</v>
      </c>
      <c r="K269" s="10" t="str">
        <f t="shared" ca="1" si="7"/>
        <v>Success</v>
      </c>
    </row>
    <row r="270" spans="1:11" ht="16">
      <c r="A270" s="1" t="s">
        <v>289</v>
      </c>
      <c r="B270" s="7" t="s">
        <v>38</v>
      </c>
      <c r="C270" s="8">
        <v>46.96</v>
      </c>
      <c r="D270" s="8" t="s">
        <v>39</v>
      </c>
      <c r="E270" s="8">
        <v>51</v>
      </c>
      <c r="F270" s="8">
        <f ca="1">IFERROR(__xludf.DUMMYFUNCTION("INDEX(GOOGLEFINANCE(A270, ""open"", DATE(2025,2,3), DATE(2025,2,3)), 2, 2)"),47.46)</f>
        <v>47.46</v>
      </c>
      <c r="G270" s="8">
        <f ca="1">IFERROR(__xludf.DUMMYFUNCTION("INDEX(GOOGLEFINANCE(A270, ""close"", DATE(2025,2,7), DATE(2025,2,7)), 2, 2)"),50.68)</f>
        <v>50.68</v>
      </c>
      <c r="H270" s="9">
        <f t="shared" ca="1" si="4"/>
        <v>-6.7846607669616494</v>
      </c>
      <c r="I270" s="10">
        <f t="shared" ca="1" si="5"/>
        <v>-67.846607669616503</v>
      </c>
      <c r="J270" s="10" t="str">
        <f t="shared" si="6"/>
        <v>Call Spread</v>
      </c>
      <c r="K270" s="10" t="str">
        <f t="shared" ca="1" si="7"/>
        <v>Success</v>
      </c>
    </row>
    <row r="271" spans="1:11" ht="16">
      <c r="A271" s="1" t="s">
        <v>290</v>
      </c>
      <c r="B271" s="7" t="s">
        <v>38</v>
      </c>
      <c r="C271" s="8">
        <v>51.89</v>
      </c>
      <c r="D271" s="8" t="s">
        <v>39</v>
      </c>
      <c r="E271" s="8">
        <v>56.05</v>
      </c>
      <c r="F271" s="8">
        <f ca="1">IFERROR(__xludf.DUMMYFUNCTION("INDEX(GOOGLEFINANCE(A271, ""open"", DATE(2025,2,3), DATE(2025,2,3)), 2, 2)"),52.76)</f>
        <v>52.76</v>
      </c>
      <c r="G271" s="8">
        <f ca="1">IFERROR(__xludf.DUMMYFUNCTION("INDEX(GOOGLEFINANCE(A271, ""close"", DATE(2025,2,7), DATE(2025,2,7)), 2, 2)"),54.14)</f>
        <v>54.14</v>
      </c>
      <c r="H271" s="9">
        <f t="shared" ca="1" si="4"/>
        <v>-2.6156178923426889</v>
      </c>
      <c r="I271" s="10">
        <f t="shared" ca="1" si="5"/>
        <v>-26.156178923426886</v>
      </c>
      <c r="J271" s="10" t="str">
        <f t="shared" si="6"/>
        <v>Call Spread</v>
      </c>
      <c r="K271" s="10" t="str">
        <f t="shared" ca="1" si="7"/>
        <v>Success</v>
      </c>
    </row>
    <row r="272" spans="1:11" ht="16">
      <c r="A272" s="1" t="s">
        <v>291</v>
      </c>
      <c r="B272" s="7" t="s">
        <v>14</v>
      </c>
      <c r="C272" s="8">
        <v>28.28</v>
      </c>
      <c r="D272" s="8" t="s">
        <v>15</v>
      </c>
      <c r="E272" s="8">
        <v>22.38</v>
      </c>
      <c r="F272" s="8">
        <f ca="1">IFERROR(__xludf.DUMMYFUNCTION("INDEX(GOOGLEFINANCE(A272, ""open"", DATE(2025,2,3), DATE(2025,2,3)), 2, 2)"),25.01)</f>
        <v>25.01</v>
      </c>
      <c r="G272" s="8">
        <f ca="1">IFERROR(__xludf.DUMMYFUNCTION("INDEX(GOOGLEFINANCE(A272, ""close"", DATE(2025,2,7), DATE(2025,2,7)), 2, 2)"),25.22)</f>
        <v>25.22</v>
      </c>
      <c r="H272" s="9">
        <f t="shared" ca="1" si="4"/>
        <v>0.83966413434625065</v>
      </c>
      <c r="I272" s="10">
        <f t="shared" ca="1" si="5"/>
        <v>8.3966413434625071</v>
      </c>
      <c r="J272" s="10" t="str">
        <f t="shared" si="6"/>
        <v>Put Spread</v>
      </c>
      <c r="K272" s="10" t="str">
        <f t="shared" ca="1" si="7"/>
        <v>Success</v>
      </c>
    </row>
    <row r="273" spans="1:11" ht="16">
      <c r="A273" s="1" t="s">
        <v>292</v>
      </c>
      <c r="B273" s="7" t="s">
        <v>14</v>
      </c>
      <c r="C273" s="8">
        <v>60.73</v>
      </c>
      <c r="D273" s="8" t="s">
        <v>15</v>
      </c>
      <c r="E273" s="8">
        <v>51.37</v>
      </c>
      <c r="F273" s="8">
        <f ca="1">IFERROR(__xludf.DUMMYFUNCTION("INDEX(GOOGLEFINANCE(A273, ""open"", DATE(2025,2,3), DATE(2025,2,3)), 2, 2)"),54.82)</f>
        <v>54.82</v>
      </c>
      <c r="G273" s="8">
        <f ca="1">IFERROR(__xludf.DUMMYFUNCTION("INDEX(GOOGLEFINANCE(A273, ""close"", DATE(2025,2,7), DATE(2025,2,7)), 2, 2)"),53.53)</f>
        <v>53.53</v>
      </c>
      <c r="H273" s="9">
        <f t="shared" ca="1" si="4"/>
        <v>-2.3531557825611076</v>
      </c>
      <c r="I273" s="10">
        <f t="shared" ca="1" si="5"/>
        <v>-23.531557825611074</v>
      </c>
      <c r="J273" s="10" t="str">
        <f t="shared" si="6"/>
        <v>Put Spread</v>
      </c>
      <c r="K273" s="10" t="str">
        <f t="shared" ca="1" si="7"/>
        <v>Success</v>
      </c>
    </row>
    <row r="274" spans="1:11" ht="16">
      <c r="A274" s="1" t="s">
        <v>293</v>
      </c>
      <c r="B274" s="7" t="s">
        <v>14</v>
      </c>
      <c r="C274" s="8">
        <v>41.37</v>
      </c>
      <c r="D274" s="8" t="s">
        <v>15</v>
      </c>
      <c r="E274" s="8">
        <v>38.630000000000003</v>
      </c>
      <c r="F274" s="8">
        <f ca="1">IFERROR(__xludf.DUMMYFUNCTION("INDEX(GOOGLEFINANCE(A274, ""open"", DATE(2025,2,3), DATE(2025,2,3)), 2, 2)"),39.86)</f>
        <v>39.86</v>
      </c>
      <c r="G274" s="8">
        <f ca="1">IFERROR(__xludf.DUMMYFUNCTION("INDEX(GOOGLEFINANCE(A274, ""close"", DATE(2025,2,7), DATE(2025,2,7)), 2, 2)"),41.31)</f>
        <v>41.31</v>
      </c>
      <c r="H274" s="9">
        <f t="shared" ca="1" si="4"/>
        <v>3.6377320622177698</v>
      </c>
      <c r="I274" s="10">
        <f t="shared" ca="1" si="5"/>
        <v>36.377320622177699</v>
      </c>
      <c r="J274" s="10" t="str">
        <f t="shared" si="6"/>
        <v>Put Spread</v>
      </c>
      <c r="K274" s="10" t="str">
        <f t="shared" ca="1" si="7"/>
        <v>Success</v>
      </c>
    </row>
    <row r="275" spans="1:11" ht="16">
      <c r="A275" s="1" t="s">
        <v>294</v>
      </c>
      <c r="B275" s="7" t="s">
        <v>14</v>
      </c>
      <c r="C275" s="8">
        <v>182.36</v>
      </c>
      <c r="D275" s="8" t="s">
        <v>15</v>
      </c>
      <c r="E275" s="8">
        <v>159.54</v>
      </c>
      <c r="F275" s="8">
        <f ca="1">IFERROR(__xludf.DUMMYFUNCTION("INDEX(GOOGLEFINANCE(A275, ""open"", DATE(2025,2,3), DATE(2025,2,3)), 2, 2)"),165.22)</f>
        <v>165.22</v>
      </c>
      <c r="G275" s="8">
        <f ca="1">IFERROR(__xludf.DUMMYFUNCTION("INDEX(GOOGLEFINANCE(A275, ""close"", DATE(2025,2,7), DATE(2025,2,7)), 2, 2)"),202.37)</f>
        <v>202.37</v>
      </c>
      <c r="H275" s="9">
        <f t="shared" ca="1" si="4"/>
        <v>22.485171286769159</v>
      </c>
      <c r="I275" s="10">
        <f t="shared" ca="1" si="5"/>
        <v>224.85171286769162</v>
      </c>
      <c r="J275" s="10" t="str">
        <f t="shared" si="6"/>
        <v>Put Spread</v>
      </c>
      <c r="K275" s="10" t="str">
        <f t="shared" ca="1" si="7"/>
        <v>Success</v>
      </c>
    </row>
    <row r="276" spans="1:11" ht="16">
      <c r="A276" s="1" t="s">
        <v>295</v>
      </c>
      <c r="B276" s="7" t="s">
        <v>14</v>
      </c>
      <c r="C276" s="8">
        <v>51.34</v>
      </c>
      <c r="D276" s="8" t="s">
        <v>15</v>
      </c>
      <c r="E276" s="8">
        <v>49.8</v>
      </c>
      <c r="F276" s="8">
        <f ca="1">IFERROR(__xludf.DUMMYFUNCTION("INDEX(GOOGLEFINANCE(A276, ""open"", DATE(2025,2,3), DATE(2025,2,3)), 2, 2)"),49.35)</f>
        <v>49.35</v>
      </c>
      <c r="G276" s="8">
        <f ca="1">IFERROR(__xludf.DUMMYFUNCTION("INDEX(GOOGLEFINANCE(A276, ""close"", DATE(2025,2,7), DATE(2025,2,7)), 2, 2)"),50.69)</f>
        <v>50.69</v>
      </c>
      <c r="H276" s="9">
        <f t="shared" ca="1" si="4"/>
        <v>2.7152988855116438</v>
      </c>
      <c r="I276" s="10">
        <f t="shared" ca="1" si="5"/>
        <v>27.152988855116437</v>
      </c>
      <c r="J276" s="10" t="str">
        <f t="shared" si="6"/>
        <v>Put Spread</v>
      </c>
      <c r="K276" s="10" t="str">
        <f t="shared" ca="1" si="7"/>
        <v>Success</v>
      </c>
    </row>
    <row r="277" spans="1:11" ht="16">
      <c r="A277" s="1" t="s">
        <v>296</v>
      </c>
      <c r="B277" s="7" t="s">
        <v>38</v>
      </c>
      <c r="C277" s="8">
        <v>9.4700000000000006</v>
      </c>
      <c r="D277" s="8" t="s">
        <v>39</v>
      </c>
      <c r="E277" s="8">
        <v>10.69</v>
      </c>
      <c r="F277" s="8">
        <f ca="1">IFERROR(__xludf.DUMMYFUNCTION("INDEX(GOOGLEFINANCE(A277, ""open"", DATE(2025,2,3), DATE(2025,2,3)), 2, 2)"),9.72)</f>
        <v>9.7200000000000006</v>
      </c>
      <c r="G277" s="8">
        <f ca="1">IFERROR(__xludf.DUMMYFUNCTION("INDEX(GOOGLEFINANCE(A277, ""close"", DATE(2025,2,7), DATE(2025,2,7)), 2, 2)"),9.24)</f>
        <v>9.24</v>
      </c>
      <c r="H277" s="9">
        <f t="shared" ca="1" si="4"/>
        <v>4.9382716049382758</v>
      </c>
      <c r="I277" s="10">
        <f t="shared" ca="1" si="5"/>
        <v>49.382716049382765</v>
      </c>
      <c r="J277" s="10" t="str">
        <f t="shared" si="6"/>
        <v>Call Spread</v>
      </c>
      <c r="K277" s="10" t="str">
        <f t="shared" ca="1" si="7"/>
        <v>Success</v>
      </c>
    </row>
    <row r="278" spans="1:11" ht="16">
      <c r="A278" s="1" t="s">
        <v>297</v>
      </c>
      <c r="B278" s="7" t="s">
        <v>14</v>
      </c>
      <c r="C278" s="8">
        <v>190.62</v>
      </c>
      <c r="D278" s="8" t="s">
        <v>15</v>
      </c>
      <c r="E278" s="8">
        <v>168.4</v>
      </c>
      <c r="F278" s="8">
        <f ca="1">IFERROR(__xludf.DUMMYFUNCTION("INDEX(GOOGLEFINANCE(A278, ""open"", DATE(2025,2,3), DATE(2025,2,3)), 2, 2)"),171.38)</f>
        <v>171.38</v>
      </c>
      <c r="G278" s="8">
        <f ca="1">IFERROR(__xludf.DUMMYFUNCTION("INDEX(GOOGLEFINANCE(A278, ""close"", DATE(2025,2,7), DATE(2025,2,7)), 2, 2)"),182.14)</f>
        <v>182.14</v>
      </c>
      <c r="H278" s="9">
        <f t="shared" ca="1" si="4"/>
        <v>6.2784455595752071</v>
      </c>
      <c r="I278" s="10">
        <f t="shared" ca="1" si="5"/>
        <v>62.784455595752071</v>
      </c>
      <c r="J278" s="10" t="str">
        <f t="shared" si="6"/>
        <v>Put Spread</v>
      </c>
      <c r="K278" s="10" t="str">
        <f t="shared" ca="1" si="7"/>
        <v>Success</v>
      </c>
    </row>
    <row r="279" spans="1:11" ht="16">
      <c r="A279" s="1" t="s">
        <v>298</v>
      </c>
      <c r="B279" s="7" t="s">
        <v>14</v>
      </c>
      <c r="C279" s="8">
        <v>5.63</v>
      </c>
      <c r="D279" s="8" t="s">
        <v>15</v>
      </c>
      <c r="E279" s="8">
        <v>4.95</v>
      </c>
      <c r="F279" s="8">
        <f ca="1">IFERROR(__xludf.DUMMYFUNCTION("INDEX(GOOGLEFINANCE(A279, ""open"", DATE(2025,2,3), DATE(2025,2,3)), 2, 2)"),5.53)</f>
        <v>5.53</v>
      </c>
      <c r="G279" s="8">
        <f ca="1">IFERROR(__xludf.DUMMYFUNCTION("INDEX(GOOGLEFINANCE(A279, ""close"", DATE(2025,2,7), DATE(2025,2,7)), 2, 2)"),5.2)</f>
        <v>5.2</v>
      </c>
      <c r="H279" s="9">
        <f t="shared" ca="1" si="4"/>
        <v>-5.9674502712477411</v>
      </c>
      <c r="I279" s="10">
        <f t="shared" ca="1" si="5"/>
        <v>-59.674502712477413</v>
      </c>
      <c r="J279" s="10" t="str">
        <f t="shared" si="6"/>
        <v>Put Spread</v>
      </c>
      <c r="K279" s="10" t="str">
        <f t="shared" ca="1" si="7"/>
        <v>Success</v>
      </c>
    </row>
    <row r="280" spans="1:11" ht="16">
      <c r="A280" s="1" t="s">
        <v>299</v>
      </c>
      <c r="B280" s="7" t="s">
        <v>14</v>
      </c>
      <c r="C280" s="8">
        <v>9.61</v>
      </c>
      <c r="D280" s="8" t="s">
        <v>15</v>
      </c>
      <c r="E280" s="8">
        <v>5.75</v>
      </c>
      <c r="F280" s="8">
        <f ca="1">IFERROR(__xludf.DUMMYFUNCTION("INDEX(GOOGLEFINANCE(A280, ""open"", DATE(2025,2,3), DATE(2025,2,3)), 2, 2)"),7.3)</f>
        <v>7.3</v>
      </c>
      <c r="G280" s="8">
        <f ca="1">IFERROR(__xludf.DUMMYFUNCTION("INDEX(GOOGLEFINANCE(A280, ""close"", DATE(2025,2,7), DATE(2025,2,7)), 2, 2)"),7.37)</f>
        <v>7.37</v>
      </c>
      <c r="H280" s="9">
        <f t="shared" ca="1" si="4"/>
        <v>0.95890410958904493</v>
      </c>
      <c r="I280" s="10">
        <f t="shared" ca="1" si="5"/>
        <v>9.5890410958904493</v>
      </c>
      <c r="J280" s="10" t="str">
        <f t="shared" si="6"/>
        <v>Put Spread</v>
      </c>
      <c r="K280" s="10" t="str">
        <f t="shared" ca="1" si="7"/>
        <v>Success</v>
      </c>
    </row>
    <row r="281" spans="1:11" ht="16">
      <c r="A281" s="1" t="s">
        <v>300</v>
      </c>
      <c r="B281" s="7" t="s">
        <v>38</v>
      </c>
      <c r="C281" s="8">
        <v>256.63</v>
      </c>
      <c r="D281" s="8" t="s">
        <v>39</v>
      </c>
      <c r="E281" s="8">
        <v>273.11</v>
      </c>
      <c r="F281" s="8">
        <f ca="1">IFERROR(__xludf.DUMMYFUNCTION("INDEX(GOOGLEFINANCE(A281, ""open"", DATE(2025,2,3), DATE(2025,2,3)), 2, 2)"),257.54)</f>
        <v>257.54000000000002</v>
      </c>
      <c r="G281" s="8">
        <f ca="1">IFERROR(__xludf.DUMMYFUNCTION("INDEX(GOOGLEFINANCE(A281, ""close"", DATE(2025,2,7), DATE(2025,2,7)), 2, 2)"),256.08)</f>
        <v>256.08</v>
      </c>
      <c r="H281" s="9">
        <f t="shared" ca="1" si="4"/>
        <v>0.56690222878000951</v>
      </c>
      <c r="I281" s="10">
        <f t="shared" ca="1" si="5"/>
        <v>5.6690222878000949</v>
      </c>
      <c r="J281" s="10" t="str">
        <f t="shared" si="6"/>
        <v>Call Spread</v>
      </c>
      <c r="K281" s="10" t="str">
        <f t="shared" ca="1" si="7"/>
        <v>Success</v>
      </c>
    </row>
    <row r="282" spans="1:11" ht="16">
      <c r="A282" s="1" t="s">
        <v>301</v>
      </c>
      <c r="B282" s="7" t="s">
        <v>14</v>
      </c>
      <c r="C282" s="8">
        <v>53.83</v>
      </c>
      <c r="D282" s="8" t="s">
        <v>15</v>
      </c>
      <c r="E282" s="8">
        <v>50.41</v>
      </c>
      <c r="F282" s="8">
        <f ca="1">IFERROR(__xludf.DUMMYFUNCTION("INDEX(GOOGLEFINANCE(A282, ""open"", DATE(2025,2,3), DATE(2025,2,3)), 2, 2)"),50.93)</f>
        <v>50.93</v>
      </c>
      <c r="G282" s="8">
        <f ca="1">IFERROR(__xludf.DUMMYFUNCTION("INDEX(GOOGLEFINANCE(A282, ""close"", DATE(2025,2,7), DATE(2025,2,7)), 2, 2)"),52.45)</f>
        <v>52.45</v>
      </c>
      <c r="H282" s="9">
        <f t="shared" ca="1" si="4"/>
        <v>2.9844885136461872</v>
      </c>
      <c r="I282" s="10">
        <f t="shared" ca="1" si="5"/>
        <v>29.844885136461873</v>
      </c>
      <c r="J282" s="10" t="str">
        <f t="shared" si="6"/>
        <v>Put Spread</v>
      </c>
      <c r="K282" s="10" t="str">
        <f t="shared" ca="1" si="7"/>
        <v>Success</v>
      </c>
    </row>
    <row r="283" spans="1:11" ht="16">
      <c r="A283" s="1" t="s">
        <v>302</v>
      </c>
      <c r="B283" s="7" t="s">
        <v>14</v>
      </c>
      <c r="C283" s="8">
        <v>31.33</v>
      </c>
      <c r="D283" s="8" t="s">
        <v>15</v>
      </c>
      <c r="E283" s="8">
        <v>28.57</v>
      </c>
      <c r="F283" s="8">
        <f ca="1">IFERROR(__xludf.DUMMYFUNCTION("INDEX(GOOGLEFINANCE(A283, ""open"", DATE(2025,2,3), DATE(2025,2,3)), 2, 2)"),28.91)</f>
        <v>28.91</v>
      </c>
      <c r="G283" s="8">
        <f ca="1">IFERROR(__xludf.DUMMYFUNCTION("INDEX(GOOGLEFINANCE(A283, ""close"", DATE(2025,2,7), DATE(2025,2,7)), 2, 2)"),31.53)</f>
        <v>31.53</v>
      </c>
      <c r="H283" s="9">
        <f t="shared" ca="1" si="4"/>
        <v>9.0626080940850944</v>
      </c>
      <c r="I283" s="10">
        <f t="shared" ca="1" si="5"/>
        <v>90.626080940850954</v>
      </c>
      <c r="J283" s="10" t="str">
        <f t="shared" si="6"/>
        <v>Put Spread</v>
      </c>
      <c r="K283" s="10" t="str">
        <f t="shared" ca="1" si="7"/>
        <v>Success</v>
      </c>
    </row>
    <row r="284" spans="1:11" ht="16">
      <c r="A284" s="1" t="s">
        <v>303</v>
      </c>
      <c r="B284" s="7" t="s">
        <v>38</v>
      </c>
      <c r="C284" s="8">
        <v>18.12</v>
      </c>
      <c r="D284" s="8" t="s">
        <v>39</v>
      </c>
      <c r="E284" s="8">
        <v>21.98</v>
      </c>
      <c r="F284" s="8">
        <f ca="1">IFERROR(__xludf.DUMMYFUNCTION("INDEX(GOOGLEFINANCE(A284, ""open"", DATE(2025,2,3), DATE(2025,2,3)), 2, 2)"),19.53)</f>
        <v>19.53</v>
      </c>
      <c r="G284" s="8">
        <f ca="1">IFERROR(__xludf.DUMMYFUNCTION("INDEX(GOOGLEFINANCE(A284, ""close"", DATE(2025,2,7), DATE(2025,2,7)), 2, 2)"),18.04)</f>
        <v>18.04</v>
      </c>
      <c r="H284" s="9">
        <f t="shared" ca="1" si="4"/>
        <v>7.6292882744495749</v>
      </c>
      <c r="I284" s="10">
        <f t="shared" ca="1" si="5"/>
        <v>76.292882744495742</v>
      </c>
      <c r="J284" s="10" t="str">
        <f t="shared" si="6"/>
        <v>Call Spread</v>
      </c>
      <c r="K284" s="10" t="str">
        <f t="shared" ca="1" si="7"/>
        <v>Success</v>
      </c>
    </row>
    <row r="285" spans="1:11" ht="16">
      <c r="A285" s="1" t="s">
        <v>304</v>
      </c>
      <c r="B285" s="7" t="s">
        <v>14</v>
      </c>
      <c r="C285" s="8">
        <v>43.8</v>
      </c>
      <c r="D285" s="8" t="s">
        <v>15</v>
      </c>
      <c r="E285" s="8">
        <v>39.5</v>
      </c>
      <c r="F285" s="8">
        <f ca="1">IFERROR(__xludf.DUMMYFUNCTION("INDEX(GOOGLEFINANCE(A285, ""open"", DATE(2025,2,3), DATE(2025,2,3)), 2, 2)"),39.65)</f>
        <v>39.65</v>
      </c>
      <c r="G285" s="8">
        <f ca="1">IFERROR(__xludf.DUMMYFUNCTION("INDEX(GOOGLEFINANCE(A285, ""close"", DATE(2025,2,7), DATE(2025,2,7)), 2, 2)"),43.16)</f>
        <v>43.16</v>
      </c>
      <c r="H285" s="9">
        <f t="shared" ca="1" si="4"/>
        <v>8.8524590163934374</v>
      </c>
      <c r="I285" s="10">
        <f t="shared" ca="1" si="5"/>
        <v>88.524590163934377</v>
      </c>
      <c r="J285" s="10" t="str">
        <f t="shared" si="6"/>
        <v>Put Spread</v>
      </c>
      <c r="K285" s="10" t="str">
        <f t="shared" ca="1" si="7"/>
        <v>Success</v>
      </c>
    </row>
    <row r="286" spans="1:11" ht="16">
      <c r="A286" s="1" t="s">
        <v>305</v>
      </c>
      <c r="B286" s="7" t="s">
        <v>14</v>
      </c>
      <c r="C286" s="8">
        <v>17.77</v>
      </c>
      <c r="D286" s="8" t="s">
        <v>15</v>
      </c>
      <c r="E286" s="8">
        <v>15.51</v>
      </c>
      <c r="F286" s="8">
        <f ca="1">IFERROR(__xludf.DUMMYFUNCTION("INDEX(GOOGLEFINANCE(A286, ""open"", DATE(2025,2,3), DATE(2025,2,3)), 2, 2)"),16.32)</f>
        <v>16.32</v>
      </c>
      <c r="G286" s="8">
        <f ca="1">IFERROR(__xludf.DUMMYFUNCTION("INDEX(GOOGLEFINANCE(A286, ""close"", DATE(2025,2,7), DATE(2025,2,7)), 2, 2)"),16.14)</f>
        <v>16.14</v>
      </c>
      <c r="H286" s="9">
        <f t="shared" ca="1" si="4"/>
        <v>-1.1029411764705863</v>
      </c>
      <c r="I286" s="10">
        <f t="shared" ca="1" si="5"/>
        <v>-11.029411764705863</v>
      </c>
      <c r="J286" s="10" t="str">
        <f t="shared" si="6"/>
        <v>Put Spread</v>
      </c>
      <c r="K286" s="10" t="str">
        <f t="shared" ca="1" si="7"/>
        <v>Success</v>
      </c>
    </row>
    <row r="287" spans="1:11" ht="16">
      <c r="A287" s="1" t="s">
        <v>306</v>
      </c>
      <c r="B287" s="7" t="s">
        <v>14</v>
      </c>
      <c r="C287" s="8">
        <v>51.47</v>
      </c>
      <c r="D287" s="8" t="s">
        <v>15</v>
      </c>
      <c r="E287" s="8">
        <v>44.95</v>
      </c>
      <c r="F287" s="8">
        <f ca="1">IFERROR(__xludf.DUMMYFUNCTION("INDEX(GOOGLEFINANCE(A287, ""open"", DATE(2025,2,3), DATE(2025,2,3)), 2, 2)"),45.73)</f>
        <v>45.73</v>
      </c>
      <c r="G287" s="8">
        <f ca="1">IFERROR(__xludf.DUMMYFUNCTION("INDEX(GOOGLEFINANCE(A287, ""close"", DATE(2025,2,7), DATE(2025,2,7)), 2, 2)"),49.34)</f>
        <v>49.34</v>
      </c>
      <c r="H287" s="9">
        <f t="shared" ca="1" si="4"/>
        <v>7.8941613820249428</v>
      </c>
      <c r="I287" s="10">
        <f t="shared" ca="1" si="5"/>
        <v>78.94161382024943</v>
      </c>
      <c r="J287" s="10" t="str">
        <f t="shared" si="6"/>
        <v>Put Spread</v>
      </c>
      <c r="K287" s="10" t="str">
        <f t="shared" ca="1" si="7"/>
        <v>Success</v>
      </c>
    </row>
    <row r="288" spans="1:11" ht="16">
      <c r="A288" s="1" t="s">
        <v>307</v>
      </c>
      <c r="B288" s="7" t="s">
        <v>14</v>
      </c>
      <c r="C288" s="8">
        <v>88.65</v>
      </c>
      <c r="D288" s="8" t="s">
        <v>15</v>
      </c>
      <c r="E288" s="8">
        <v>81.99</v>
      </c>
      <c r="F288" s="8">
        <f ca="1">IFERROR(__xludf.DUMMYFUNCTION("INDEX(GOOGLEFINANCE(A288, ""open"", DATE(2025,2,3), DATE(2025,2,3)), 2, 2)"),83.1)</f>
        <v>83.1</v>
      </c>
      <c r="G288" s="8">
        <f ca="1">IFERROR(__xludf.DUMMYFUNCTION("INDEX(GOOGLEFINANCE(A288, ""close"", DATE(2025,2,7), DATE(2025,2,7)), 2, 2)"),87.79)</f>
        <v>87.79</v>
      </c>
      <c r="H288" s="9">
        <f t="shared" ca="1" si="4"/>
        <v>5.6438026474127705</v>
      </c>
      <c r="I288" s="10">
        <f t="shared" ca="1" si="5"/>
        <v>56.438026474127703</v>
      </c>
      <c r="J288" s="10" t="str">
        <f t="shared" si="6"/>
        <v>Put Spread</v>
      </c>
      <c r="K288" s="10" t="str">
        <f t="shared" ca="1" si="7"/>
        <v>Success</v>
      </c>
    </row>
    <row r="289" spans="1:11" ht="16">
      <c r="A289" s="1" t="s">
        <v>308</v>
      </c>
      <c r="B289" s="7" t="s">
        <v>38</v>
      </c>
      <c r="C289" s="8">
        <v>93.91</v>
      </c>
      <c r="D289" s="8" t="s">
        <v>39</v>
      </c>
      <c r="E289" s="8">
        <v>106.29</v>
      </c>
      <c r="F289" s="8">
        <f ca="1">IFERROR(__xludf.DUMMYFUNCTION("INDEX(GOOGLEFINANCE(A289, ""open"", DATE(2025,2,3), DATE(2025,2,3)), 2, 2)"),96.5)</f>
        <v>96.5</v>
      </c>
      <c r="G289" s="8">
        <f ca="1">IFERROR(__xludf.DUMMYFUNCTION("INDEX(GOOGLEFINANCE(A289, ""close"", DATE(2025,2,7), DATE(2025,2,7)), 2, 2)"),101.04)</f>
        <v>101.04</v>
      </c>
      <c r="H289" s="9">
        <f t="shared" ca="1" si="4"/>
        <v>-4.7046632124352392</v>
      </c>
      <c r="I289" s="10">
        <f t="shared" ca="1" si="5"/>
        <v>-47.046632124352392</v>
      </c>
      <c r="J289" s="10" t="str">
        <f t="shared" si="6"/>
        <v>Call Spread</v>
      </c>
      <c r="K289" s="10" t="str">
        <f t="shared" ca="1" si="7"/>
        <v>Success</v>
      </c>
    </row>
    <row r="290" spans="1:11" ht="16">
      <c r="A290" s="1" t="s">
        <v>309</v>
      </c>
      <c r="B290" s="7" t="s">
        <v>38</v>
      </c>
      <c r="C290" s="8">
        <v>56.74</v>
      </c>
      <c r="D290" s="8" t="s">
        <v>39</v>
      </c>
      <c r="E290" s="8">
        <v>60.86</v>
      </c>
      <c r="F290" s="8">
        <f ca="1">IFERROR(__xludf.DUMMYFUNCTION("INDEX(GOOGLEFINANCE(A290, ""open"", DATE(2025,2,3), DATE(2025,2,3)), 2, 2)"),57.66)</f>
        <v>57.66</v>
      </c>
      <c r="G290" s="8">
        <f ca="1">IFERROR(__xludf.DUMMYFUNCTION("INDEX(GOOGLEFINANCE(A290, ""close"", DATE(2025,2,7), DATE(2025,2,7)), 2, 2)"),59.47)</f>
        <v>59.47</v>
      </c>
      <c r="H290" s="9">
        <f t="shared" ca="1" si="4"/>
        <v>-3.1390912244190119</v>
      </c>
      <c r="I290" s="10">
        <f t="shared" ca="1" si="5"/>
        <v>-31.390912244190119</v>
      </c>
      <c r="J290" s="10" t="str">
        <f t="shared" si="6"/>
        <v>Call Spread</v>
      </c>
      <c r="K290" s="10" t="str">
        <f t="shared" ca="1" si="7"/>
        <v>Success</v>
      </c>
    </row>
    <row r="291" spans="1:11" ht="16">
      <c r="A291" s="1" t="s">
        <v>310</v>
      </c>
      <c r="B291" s="7" t="s">
        <v>14</v>
      </c>
      <c r="C291" s="8">
        <v>128.44</v>
      </c>
      <c r="D291" s="8" t="s">
        <v>15</v>
      </c>
      <c r="E291" s="8">
        <v>111.26</v>
      </c>
      <c r="F291" s="8">
        <f ca="1">IFERROR(__xludf.DUMMYFUNCTION("INDEX(GOOGLEFINANCE(A291, ""open"", DATE(2025,2,3), DATE(2025,2,3)), 2, 2)"),111.92)</f>
        <v>111.92</v>
      </c>
      <c r="G291" s="8">
        <f ca="1">IFERROR(__xludf.DUMMYFUNCTION("INDEX(GOOGLEFINANCE(A291, ""close"", DATE(2025,2,7), DATE(2025,2,7)), 2, 2)"),121.03)</f>
        <v>121.03</v>
      </c>
      <c r="H291" s="9">
        <f t="shared" ca="1" si="4"/>
        <v>8.1397426733380982</v>
      </c>
      <c r="I291" s="10">
        <f t="shared" ca="1" si="5"/>
        <v>81.397426733380982</v>
      </c>
      <c r="J291" s="10" t="str">
        <f t="shared" si="6"/>
        <v>Put Spread</v>
      </c>
      <c r="K291" s="10" t="str">
        <f t="shared" ca="1" si="7"/>
        <v>Success</v>
      </c>
    </row>
    <row r="292" spans="1:11" ht="16">
      <c r="A292" s="1" t="s">
        <v>311</v>
      </c>
      <c r="B292" s="7" t="s">
        <v>14</v>
      </c>
      <c r="C292" s="8">
        <v>53.16</v>
      </c>
      <c r="D292" s="8" t="s">
        <v>15</v>
      </c>
      <c r="E292" s="8">
        <v>49.2</v>
      </c>
      <c r="F292" s="8">
        <f ca="1">IFERROR(__xludf.DUMMYFUNCTION("INDEX(GOOGLEFINANCE(A292, ""open"", DATE(2025,2,3), DATE(2025,2,3)), 2, 2)"),50.6)</f>
        <v>50.6</v>
      </c>
      <c r="G292" s="8">
        <f ca="1">IFERROR(__xludf.DUMMYFUNCTION("INDEX(GOOGLEFINANCE(A292, ""close"", DATE(2025,2,7), DATE(2025,2,7)), 2, 2)"),52.79)</f>
        <v>52.79</v>
      </c>
      <c r="H292" s="9">
        <f t="shared" ca="1" si="4"/>
        <v>4.3280632411067144</v>
      </c>
      <c r="I292" s="10">
        <f t="shared" ca="1" si="5"/>
        <v>43.280632411067145</v>
      </c>
      <c r="J292" s="10" t="str">
        <f t="shared" si="6"/>
        <v>Put Spread</v>
      </c>
      <c r="K292" s="10" t="str">
        <f t="shared" ca="1" si="7"/>
        <v>Success</v>
      </c>
    </row>
    <row r="293" spans="1:11" ht="16">
      <c r="A293" s="1" t="s">
        <v>312</v>
      </c>
      <c r="B293" s="7" t="s">
        <v>38</v>
      </c>
      <c r="C293" s="8">
        <v>154.12</v>
      </c>
      <c r="D293" s="8" t="s">
        <v>39</v>
      </c>
      <c r="E293" s="8">
        <v>180.92</v>
      </c>
      <c r="F293" s="8">
        <f ca="1">IFERROR(__xludf.DUMMYFUNCTION("INDEX(GOOGLEFINANCE(A293, ""open"", DATE(2025,2,3), DATE(2025,2,3)), 2, 2)"),163.31)</f>
        <v>163.31</v>
      </c>
      <c r="G293" s="8">
        <f ca="1">IFERROR(__xludf.DUMMYFUNCTION("INDEX(GOOGLEFINANCE(A293, ""close"", DATE(2025,2,7), DATE(2025,2,7)), 2, 2)"),168.34)</f>
        <v>168.34</v>
      </c>
      <c r="H293" s="9">
        <f t="shared" ca="1" si="4"/>
        <v>-3.0800318412834491</v>
      </c>
      <c r="I293" s="10">
        <f t="shared" ca="1" si="5"/>
        <v>-30.800318412834489</v>
      </c>
      <c r="J293" s="10" t="str">
        <f t="shared" si="6"/>
        <v>Call Spread</v>
      </c>
      <c r="K293" s="10" t="str">
        <f t="shared" ca="1" si="7"/>
        <v>Success</v>
      </c>
    </row>
    <row r="294" spans="1:11" ht="16">
      <c r="A294" s="1" t="s">
        <v>313</v>
      </c>
      <c r="B294" s="7" t="s">
        <v>14</v>
      </c>
      <c r="C294" s="8">
        <v>11.88</v>
      </c>
      <c r="D294" s="8" t="s">
        <v>15</v>
      </c>
      <c r="E294" s="8">
        <v>9.06</v>
      </c>
      <c r="F294" s="8">
        <f ca="1">IFERROR(__xludf.DUMMYFUNCTION("INDEX(GOOGLEFINANCE(A294, ""open"", DATE(2025,2,3), DATE(2025,2,3)), 2, 2)"),10.01)</f>
        <v>10.01</v>
      </c>
      <c r="G294" s="8">
        <f ca="1">IFERROR(__xludf.DUMMYFUNCTION("INDEX(GOOGLEFINANCE(A294, ""close"", DATE(2025,2,7), DATE(2025,2,7)), 2, 2)"),10.12)</f>
        <v>10.119999999999999</v>
      </c>
      <c r="H294" s="9">
        <f t="shared" ca="1" si="4"/>
        <v>1.0989010989010932</v>
      </c>
      <c r="I294" s="10">
        <f t="shared" ca="1" si="5"/>
        <v>10.989010989010932</v>
      </c>
      <c r="J294" s="10" t="str">
        <f t="shared" si="6"/>
        <v>Put Spread</v>
      </c>
      <c r="K294" s="10" t="str">
        <f t="shared" ca="1" si="7"/>
        <v>Success</v>
      </c>
    </row>
    <row r="295" spans="1:11" ht="16">
      <c r="A295" s="1" t="s">
        <v>314</v>
      </c>
      <c r="B295" s="7" t="s">
        <v>14</v>
      </c>
      <c r="C295" s="8">
        <v>107.41</v>
      </c>
      <c r="D295" s="8" t="s">
        <v>15</v>
      </c>
      <c r="E295" s="8">
        <v>94.35</v>
      </c>
      <c r="F295" s="8">
        <f ca="1">IFERROR(__xludf.DUMMYFUNCTION("INDEX(GOOGLEFINANCE(A295, ""open"", DATE(2025,2,3), DATE(2025,2,3)), 2, 2)"),98.87)</f>
        <v>98.87</v>
      </c>
      <c r="G295" s="8">
        <f ca="1">IFERROR(__xludf.DUMMYFUNCTION("INDEX(GOOGLEFINANCE(A295, ""close"", DATE(2025,2,7), DATE(2025,2,7)), 2, 2)"),107.66)</f>
        <v>107.66</v>
      </c>
      <c r="H295" s="9">
        <f t="shared" ca="1" si="4"/>
        <v>8.8904622231212613</v>
      </c>
      <c r="I295" s="10">
        <f t="shared" ca="1" si="5"/>
        <v>88.904622231212613</v>
      </c>
      <c r="J295" s="10" t="str">
        <f t="shared" si="6"/>
        <v>Put Spread</v>
      </c>
      <c r="K295" s="10" t="str">
        <f t="shared" ca="1" si="7"/>
        <v>Success</v>
      </c>
    </row>
    <row r="296" spans="1:11" ht="16">
      <c r="A296" s="1" t="s">
        <v>315</v>
      </c>
      <c r="B296" s="7" t="s">
        <v>14</v>
      </c>
      <c r="C296" s="8">
        <v>4.5999999999999996</v>
      </c>
      <c r="D296" s="8" t="s">
        <v>15</v>
      </c>
      <c r="E296" s="8">
        <v>3.48</v>
      </c>
      <c r="F296" s="8">
        <f ca="1">IFERROR(__xludf.DUMMYFUNCTION("INDEX(GOOGLEFINANCE(A296, ""open"", DATE(2025,2,3), DATE(2025,2,3)), 2, 2)"),3.89)</f>
        <v>3.89</v>
      </c>
      <c r="G296" s="8">
        <f ca="1">IFERROR(__xludf.DUMMYFUNCTION("INDEX(GOOGLEFINANCE(A296, ""close"", DATE(2025,2,7), DATE(2025,2,7)), 2, 2)"),3.95)</f>
        <v>3.95</v>
      </c>
      <c r="H296" s="9">
        <f t="shared" ca="1" si="4"/>
        <v>1.5424164524421609</v>
      </c>
      <c r="I296" s="10">
        <f t="shared" ca="1" si="5"/>
        <v>15.424164524421608</v>
      </c>
      <c r="J296" s="10" t="str">
        <f t="shared" si="6"/>
        <v>Put Spread</v>
      </c>
      <c r="K296" s="10" t="str">
        <f t="shared" ca="1" si="7"/>
        <v>Success</v>
      </c>
    </row>
    <row r="297" spans="1:11" ht="16">
      <c r="A297" s="1" t="s">
        <v>316</v>
      </c>
      <c r="B297" s="7" t="s">
        <v>14</v>
      </c>
      <c r="C297" s="8">
        <v>106.17</v>
      </c>
      <c r="D297" s="8" t="s">
        <v>15</v>
      </c>
      <c r="E297" s="8">
        <v>87.13</v>
      </c>
      <c r="F297" s="8">
        <f ca="1">IFERROR(__xludf.DUMMYFUNCTION("INDEX(GOOGLEFINANCE(A297, ""open"", DATE(2025,2,3), DATE(2025,2,3)), 2, 2)"),92.1)</f>
        <v>92.1</v>
      </c>
      <c r="G297" s="8">
        <f ca="1">IFERROR(__xludf.DUMMYFUNCTION("INDEX(GOOGLEFINANCE(A297, ""close"", DATE(2025,2,7), DATE(2025,2,7)), 2, 2)"),105.64)</f>
        <v>105.64</v>
      </c>
      <c r="H297" s="9">
        <f t="shared" ca="1" si="4"/>
        <v>14.701411509229107</v>
      </c>
      <c r="I297" s="10">
        <f t="shared" ca="1" si="5"/>
        <v>147.01411509229106</v>
      </c>
      <c r="J297" s="10" t="str">
        <f t="shared" si="6"/>
        <v>Put Spread</v>
      </c>
      <c r="K297" s="10" t="str">
        <f t="shared" ca="1" si="7"/>
        <v>Success</v>
      </c>
    </row>
    <row r="298" spans="1:11" ht="16">
      <c r="A298" s="1" t="s">
        <v>317</v>
      </c>
      <c r="B298" s="7" t="s">
        <v>14</v>
      </c>
      <c r="C298" s="8">
        <v>99.82</v>
      </c>
      <c r="D298" s="8" t="s">
        <v>15</v>
      </c>
      <c r="E298" s="8">
        <v>91.58</v>
      </c>
      <c r="F298" s="8">
        <f ca="1">IFERROR(__xludf.DUMMYFUNCTION("INDEX(GOOGLEFINANCE(A298, ""open"", DATE(2025,2,3), DATE(2025,2,3)), 2, 2)"),94.61)</f>
        <v>94.61</v>
      </c>
      <c r="G298" s="8">
        <f ca="1">IFERROR(__xludf.DUMMYFUNCTION("INDEX(GOOGLEFINANCE(A298, ""close"", DATE(2025,2,7), DATE(2025,2,7)), 2, 2)"),100.03)</f>
        <v>100.03</v>
      </c>
      <c r="H298" s="9">
        <f t="shared" ca="1" si="4"/>
        <v>5.728781312757639</v>
      </c>
      <c r="I298" s="10">
        <f t="shared" ca="1" si="5"/>
        <v>57.287813127576392</v>
      </c>
      <c r="J298" s="10" t="str">
        <f t="shared" si="6"/>
        <v>Put Spread</v>
      </c>
      <c r="K298" s="10" t="str">
        <f t="shared" ca="1" si="7"/>
        <v>Success</v>
      </c>
    </row>
    <row r="299" spans="1:11" ht="16">
      <c r="A299" s="1" t="s">
        <v>318</v>
      </c>
      <c r="B299" s="7" t="s">
        <v>38</v>
      </c>
      <c r="C299" s="8">
        <v>94.85</v>
      </c>
      <c r="D299" s="8" t="s">
        <v>39</v>
      </c>
      <c r="E299" s="8">
        <v>96.81</v>
      </c>
      <c r="F299" s="8">
        <f ca="1">IFERROR(__xludf.DUMMYFUNCTION("INDEX(GOOGLEFINANCE(A299, ""open"", DATE(2025,2,3), DATE(2025,2,3)), 2, 2)"),94.78)</f>
        <v>94.78</v>
      </c>
      <c r="G299" s="8">
        <f ca="1">IFERROR(__xludf.DUMMYFUNCTION("INDEX(GOOGLEFINANCE(A299, ""close"", DATE(2025,2,7), DATE(2025,2,7)), 2, 2)"),95.32)</f>
        <v>95.32</v>
      </c>
      <c r="H299" s="9">
        <f t="shared" ca="1" si="4"/>
        <v>-0.56974045157205322</v>
      </c>
      <c r="I299" s="10">
        <f t="shared" ca="1" si="5"/>
        <v>-5.6974045157205317</v>
      </c>
      <c r="J299" s="10" t="str">
        <f t="shared" si="6"/>
        <v>Call Spread</v>
      </c>
      <c r="K299" s="10" t="str">
        <f t="shared" ca="1" si="7"/>
        <v>Success</v>
      </c>
    </row>
    <row r="300" spans="1:11" ht="16">
      <c r="A300" s="1" t="s">
        <v>319</v>
      </c>
      <c r="B300" s="7" t="s">
        <v>38</v>
      </c>
      <c r="C300" s="8">
        <v>96.54</v>
      </c>
      <c r="D300" s="8" t="s">
        <v>39</v>
      </c>
      <c r="E300" s="8">
        <v>98.45</v>
      </c>
      <c r="F300" s="8">
        <f ca="1">IFERROR(__xludf.DUMMYFUNCTION("INDEX(GOOGLEFINANCE(A300, ""open"", DATE(2025,2,3), DATE(2025,2,3)), 2, 2)"),97.15)</f>
        <v>97.15</v>
      </c>
      <c r="G300" s="8">
        <f ca="1">IFERROR(__xludf.DUMMYFUNCTION("INDEX(GOOGLEFINANCE(A300, ""close"", DATE(2025,2,7), DATE(2025,2,7)), 2, 2)"),97.65)</f>
        <v>97.65</v>
      </c>
      <c r="H300" s="9">
        <f t="shared" ca="1" si="4"/>
        <v>-0.51466803911477099</v>
      </c>
      <c r="I300" s="10">
        <f t="shared" ca="1" si="5"/>
        <v>-5.1466803911477097</v>
      </c>
      <c r="J300" s="10" t="str">
        <f t="shared" si="6"/>
        <v>Call Spread</v>
      </c>
      <c r="K300" s="10" t="str">
        <f t="shared" ca="1" si="7"/>
        <v>Success</v>
      </c>
    </row>
    <row r="301" spans="1:11" ht="16">
      <c r="A301" s="1" t="s">
        <v>320</v>
      </c>
      <c r="B301" s="7" t="s">
        <v>14</v>
      </c>
      <c r="C301" s="8">
        <v>35.14</v>
      </c>
      <c r="D301" s="8" t="s">
        <v>15</v>
      </c>
      <c r="E301" s="8">
        <v>28.64</v>
      </c>
      <c r="F301" s="8">
        <f ca="1">IFERROR(__xludf.DUMMYFUNCTION("INDEX(GOOGLEFINANCE(A301, ""open"", DATE(2025,2,3), DATE(2025,2,3)), 2, 2)"),31.33)</f>
        <v>31.33</v>
      </c>
      <c r="G301" s="8">
        <f ca="1">IFERROR(__xludf.DUMMYFUNCTION("INDEX(GOOGLEFINANCE(A301, ""close"", DATE(2025,2,7), DATE(2025,2,7)), 2, 2)"),32.73)</f>
        <v>32.729999999999997</v>
      </c>
      <c r="H301" s="9">
        <f t="shared" ca="1" si="4"/>
        <v>4.4685604851579912</v>
      </c>
      <c r="I301" s="10">
        <f t="shared" ca="1" si="5"/>
        <v>44.68560485157991</v>
      </c>
      <c r="J301" s="10" t="str">
        <f t="shared" si="6"/>
        <v>Put Spread</v>
      </c>
      <c r="K301" s="10" t="str">
        <f t="shared" ca="1" si="7"/>
        <v>Success</v>
      </c>
    </row>
    <row r="302" spans="1:11" ht="16">
      <c r="A302" s="1" t="s">
        <v>321</v>
      </c>
      <c r="B302" s="7" t="s">
        <v>14</v>
      </c>
      <c r="C302" s="8">
        <v>60.36</v>
      </c>
      <c r="D302" s="8" t="s">
        <v>15</v>
      </c>
      <c r="E302" s="8">
        <v>58.58</v>
      </c>
      <c r="F302" s="8">
        <f ca="1">IFERROR(__xludf.DUMMYFUNCTION("INDEX(GOOGLEFINANCE(A302, ""open"", DATE(2025,2,3), DATE(2025,2,3)), 2, 2)"),59.7)</f>
        <v>59.7</v>
      </c>
      <c r="G302" s="8">
        <f ca="1">IFERROR(__xludf.DUMMYFUNCTION("INDEX(GOOGLEFINANCE(A302, ""close"", DATE(2025,2,7), DATE(2025,2,7)), 2, 2)"),60.99)</f>
        <v>60.99</v>
      </c>
      <c r="H302" s="9">
        <f t="shared" ca="1" si="4"/>
        <v>2.160804020100501</v>
      </c>
      <c r="I302" s="10">
        <f t="shared" ca="1" si="5"/>
        <v>21.608040201005011</v>
      </c>
      <c r="J302" s="10" t="str">
        <f t="shared" si="6"/>
        <v>Put Spread</v>
      </c>
      <c r="K302" s="10" t="str">
        <f t="shared" ca="1" si="7"/>
        <v>Success</v>
      </c>
    </row>
    <row r="303" spans="1:11" ht="16">
      <c r="A303" s="1" t="s">
        <v>322</v>
      </c>
      <c r="B303" s="7" t="s">
        <v>14</v>
      </c>
      <c r="C303" s="8">
        <v>23.62</v>
      </c>
      <c r="D303" s="8" t="s">
        <v>15</v>
      </c>
      <c r="E303" s="8">
        <v>19.02</v>
      </c>
      <c r="F303" s="8">
        <f ca="1">IFERROR(__xludf.DUMMYFUNCTION("INDEX(GOOGLEFINANCE(A303, ""open"", DATE(2025,2,3), DATE(2025,2,3)), 2, 2)"),19.86)</f>
        <v>19.86</v>
      </c>
      <c r="G303" s="8">
        <f ca="1">IFERROR(__xludf.DUMMYFUNCTION("INDEX(GOOGLEFINANCE(A303, ""close"", DATE(2025,2,7), DATE(2025,2,7)), 2, 2)"),19.79)</f>
        <v>19.79</v>
      </c>
      <c r="H303" s="9">
        <f t="shared" ca="1" si="4"/>
        <v>-0.35246727089627533</v>
      </c>
      <c r="I303" s="10">
        <f t="shared" ca="1" si="5"/>
        <v>-3.5246727089627536</v>
      </c>
      <c r="J303" s="10" t="str">
        <f t="shared" si="6"/>
        <v>Put Spread</v>
      </c>
      <c r="K303" s="10" t="str">
        <f t="shared" ca="1" si="7"/>
        <v>Success</v>
      </c>
    </row>
    <row r="304" spans="1:11" ht="16">
      <c r="A304" s="1" t="s">
        <v>323</v>
      </c>
      <c r="B304" s="7" t="s">
        <v>38</v>
      </c>
      <c r="C304" s="8">
        <v>249.43</v>
      </c>
      <c r="D304" s="8" t="s">
        <v>39</v>
      </c>
      <c r="E304" s="8">
        <v>264.52999999999997</v>
      </c>
      <c r="F304" s="8">
        <f ca="1">IFERROR(__xludf.DUMMYFUNCTION("INDEX(GOOGLEFINANCE(A304, ""open"", DATE(2025,2,3), DATE(2025,2,3)), 2, 2)"),256)</f>
        <v>256</v>
      </c>
      <c r="G304" s="8">
        <f ca="1">IFERROR(__xludf.DUMMYFUNCTION("INDEX(GOOGLEFINANCE(A304, ""close"", DATE(2025,2,7), DATE(2025,2,7)), 2, 2)"),254.83)</f>
        <v>254.83</v>
      </c>
      <c r="H304" s="9">
        <f t="shared" ca="1" si="4"/>
        <v>0.45703124999999512</v>
      </c>
      <c r="I304" s="10">
        <f t="shared" ca="1" si="5"/>
        <v>4.5703124999999512</v>
      </c>
      <c r="J304" s="10" t="str">
        <f t="shared" si="6"/>
        <v>Call Spread</v>
      </c>
      <c r="K304" s="10" t="str">
        <f t="shared" ca="1" si="7"/>
        <v>Success</v>
      </c>
    </row>
    <row r="305" spans="1:11" ht="16">
      <c r="A305" s="1" t="s">
        <v>324</v>
      </c>
      <c r="B305" s="7" t="s">
        <v>14</v>
      </c>
      <c r="C305" s="8">
        <v>222.72</v>
      </c>
      <c r="D305" s="8" t="s">
        <v>15</v>
      </c>
      <c r="E305" s="8">
        <v>202.58</v>
      </c>
      <c r="F305" s="8">
        <f ca="1">IFERROR(__xludf.DUMMYFUNCTION("INDEX(GOOGLEFINANCE(A305, ""open"", DATE(2025,2,3), DATE(2025,2,3)), 2, 2)"),207.7)</f>
        <v>207.7</v>
      </c>
      <c r="G305" s="8">
        <f ca="1">IFERROR(__xludf.DUMMYFUNCTION("INDEX(GOOGLEFINANCE(A305, ""close"", DATE(2025,2,7), DATE(2025,2,7)), 2, 2)"),211.4)</f>
        <v>211.4</v>
      </c>
      <c r="H305" s="9">
        <f t="shared" ca="1" si="4"/>
        <v>1.7814155031295222</v>
      </c>
      <c r="I305" s="10">
        <f t="shared" ca="1" si="5"/>
        <v>17.814155031295222</v>
      </c>
      <c r="J305" s="10" t="str">
        <f t="shared" si="6"/>
        <v>Put Spread</v>
      </c>
      <c r="K305" s="10" t="str">
        <f t="shared" ca="1" si="7"/>
        <v>Success</v>
      </c>
    </row>
    <row r="306" spans="1:11" ht="16">
      <c r="A306" s="1" t="s">
        <v>325</v>
      </c>
      <c r="B306" s="7" t="s">
        <v>14</v>
      </c>
      <c r="C306" s="8">
        <v>40.700000000000003</v>
      </c>
      <c r="D306" s="8" t="s">
        <v>15</v>
      </c>
      <c r="E306" s="8">
        <v>37.22</v>
      </c>
      <c r="F306" s="8">
        <f ca="1">IFERROR(__xludf.DUMMYFUNCTION("INDEX(GOOGLEFINANCE(A306, ""open"", DATE(2025,2,3), DATE(2025,2,3)), 2, 2)"),39.22)</f>
        <v>39.22</v>
      </c>
      <c r="G306" s="8">
        <f ca="1">IFERROR(__xludf.DUMMYFUNCTION("INDEX(GOOGLEFINANCE(A306, ""close"", DATE(2025,2,7), DATE(2025,2,7)), 2, 2)"),40.86)</f>
        <v>40.86</v>
      </c>
      <c r="H306" s="9">
        <f t="shared" ca="1" si="4"/>
        <v>4.1815400305966355</v>
      </c>
      <c r="I306" s="10">
        <f t="shared" ca="1" si="5"/>
        <v>41.815400305966357</v>
      </c>
      <c r="J306" s="10" t="str">
        <f t="shared" si="6"/>
        <v>Put Spread</v>
      </c>
      <c r="K306" s="10" t="str">
        <f t="shared" ca="1" si="7"/>
        <v>Success</v>
      </c>
    </row>
    <row r="307" spans="1:11" ht="16">
      <c r="A307" s="1" t="s">
        <v>326</v>
      </c>
      <c r="B307" s="7" t="s">
        <v>14</v>
      </c>
      <c r="C307" s="8">
        <v>49.96</v>
      </c>
      <c r="D307" s="8" t="s">
        <v>15</v>
      </c>
      <c r="E307" s="8">
        <v>46.78</v>
      </c>
      <c r="F307" s="8">
        <f ca="1">IFERROR(__xludf.DUMMYFUNCTION("INDEX(GOOGLEFINANCE(A307, ""open"", DATE(2025,2,3), DATE(2025,2,3)), 2, 2)"),48.65)</f>
        <v>48.65</v>
      </c>
      <c r="G307" s="8">
        <f ca="1">IFERROR(__xludf.DUMMYFUNCTION("INDEX(GOOGLEFINANCE(A307, ""close"", DATE(2025,2,7), DATE(2025,2,7)), 2, 2)"),50.94)</f>
        <v>50.94</v>
      </c>
      <c r="H307" s="9">
        <f t="shared" ca="1" si="4"/>
        <v>4.7070914696813961</v>
      </c>
      <c r="I307" s="10">
        <f t="shared" ca="1" si="5"/>
        <v>47.070914696813958</v>
      </c>
      <c r="J307" s="10" t="str">
        <f t="shared" si="6"/>
        <v>Put Spread</v>
      </c>
      <c r="K307" s="10" t="str">
        <f t="shared" ca="1" si="7"/>
        <v>Success</v>
      </c>
    </row>
    <row r="308" spans="1:11" ht="16">
      <c r="A308" s="1" t="s">
        <v>327</v>
      </c>
      <c r="B308" s="7" t="s">
        <v>14</v>
      </c>
      <c r="C308" s="8">
        <v>211.1</v>
      </c>
      <c r="D308" s="8" t="s">
        <v>15</v>
      </c>
      <c r="E308" s="8">
        <v>196.04</v>
      </c>
      <c r="F308" s="8">
        <f ca="1">IFERROR(__xludf.DUMMYFUNCTION("INDEX(GOOGLEFINANCE(A308, ""open"", DATE(2025,2,3), DATE(2025,2,3)), 2, 2)"),200)</f>
        <v>200</v>
      </c>
      <c r="G308" s="8">
        <f ca="1">IFERROR(__xludf.DUMMYFUNCTION("INDEX(GOOGLEFINANCE(A308, ""close"", DATE(2025,2,7), DATE(2025,2,7)), 2, 2)"),205.28)</f>
        <v>205.28</v>
      </c>
      <c r="H308" s="9">
        <f t="shared" ca="1" si="4"/>
        <v>2.6400000000000006</v>
      </c>
      <c r="I308" s="10">
        <f t="shared" ca="1" si="5"/>
        <v>26.400000000000006</v>
      </c>
      <c r="J308" s="10" t="str">
        <f t="shared" si="6"/>
        <v>Put Spread</v>
      </c>
      <c r="K308" s="10" t="str">
        <f t="shared" ca="1" si="7"/>
        <v>Success</v>
      </c>
    </row>
    <row r="309" spans="1:11" ht="16">
      <c r="A309" s="1" t="s">
        <v>328</v>
      </c>
      <c r="B309" s="7" t="s">
        <v>14</v>
      </c>
      <c r="C309" s="8">
        <v>35.049999999999997</v>
      </c>
      <c r="D309" s="8" t="s">
        <v>15</v>
      </c>
      <c r="E309" s="8">
        <v>27.97</v>
      </c>
      <c r="F309" s="8">
        <f ca="1">IFERROR(__xludf.DUMMYFUNCTION("INDEX(GOOGLEFINANCE(A309, ""open"", DATE(2025,2,3), DATE(2025,2,3)), 2, 2)"),30.72)</f>
        <v>30.72</v>
      </c>
      <c r="G309" s="8">
        <f ca="1">IFERROR(__xludf.DUMMYFUNCTION("INDEX(GOOGLEFINANCE(A309, ""close"", DATE(2025,2,7), DATE(2025,2,7)), 2, 2)"),26.93)</f>
        <v>26.93</v>
      </c>
      <c r="H309" s="9">
        <f t="shared" ca="1" si="4"/>
        <v>-12.337239583333332</v>
      </c>
      <c r="I309" s="10">
        <f t="shared" ca="1" si="5"/>
        <v>-123.37239583333331</v>
      </c>
      <c r="J309" s="10" t="str">
        <f t="shared" si="6"/>
        <v>Put Spread</v>
      </c>
      <c r="K309" s="10" t="str">
        <f t="shared" ca="1" si="7"/>
        <v>No</v>
      </c>
    </row>
    <row r="310" spans="1:11" ht="16">
      <c r="A310" s="1" t="s">
        <v>329</v>
      </c>
      <c r="B310" s="7" t="s">
        <v>14</v>
      </c>
      <c r="C310" s="8">
        <v>3.16</v>
      </c>
      <c r="D310" s="8" t="s">
        <v>15</v>
      </c>
      <c r="E310" s="8">
        <v>2.58</v>
      </c>
      <c r="F310" s="8">
        <f ca="1">IFERROR(__xludf.DUMMYFUNCTION("INDEX(GOOGLEFINANCE(A310, ""open"", DATE(2025,2,3), DATE(2025,2,3)), 2, 2)"),2.81)</f>
        <v>2.81</v>
      </c>
      <c r="G310" s="8">
        <f ca="1">IFERROR(__xludf.DUMMYFUNCTION("INDEX(GOOGLEFINANCE(A310, ""close"", DATE(2025,2,7), DATE(2025,2,7)), 2, 2)"),2.93)</f>
        <v>2.93</v>
      </c>
      <c r="H310" s="9">
        <f t="shared" ca="1" si="4"/>
        <v>4.2704626334519613</v>
      </c>
      <c r="I310" s="10">
        <f t="shared" ca="1" si="5"/>
        <v>42.704626334519617</v>
      </c>
      <c r="J310" s="10" t="str">
        <f t="shared" si="6"/>
        <v>Put Spread</v>
      </c>
      <c r="K310" s="10" t="str">
        <f t="shared" ca="1" si="7"/>
        <v>Success</v>
      </c>
    </row>
    <row r="311" spans="1:11" ht="16">
      <c r="A311" s="1" t="s">
        <v>330</v>
      </c>
      <c r="B311" s="7" t="s">
        <v>38</v>
      </c>
      <c r="C311" s="8">
        <v>12</v>
      </c>
      <c r="D311" s="8" t="s">
        <v>39</v>
      </c>
      <c r="E311" s="8">
        <v>13.82</v>
      </c>
      <c r="F311" s="8">
        <f ca="1">IFERROR(__xludf.DUMMYFUNCTION("INDEX(GOOGLEFINANCE(A311, ""open"", DATE(2025,2,3), DATE(2025,2,3)), 2, 2)"),12.55)</f>
        <v>12.55</v>
      </c>
      <c r="G311" s="8">
        <f ca="1">IFERROR(__xludf.DUMMYFUNCTION("INDEX(GOOGLEFINANCE(A311, ""close"", DATE(2025,2,7), DATE(2025,2,7)), 2, 2)"),12.35)</f>
        <v>12.35</v>
      </c>
      <c r="H311" s="9">
        <f t="shared" ca="1" si="4"/>
        <v>1.5936254980079765</v>
      </c>
      <c r="I311" s="10">
        <f t="shared" ca="1" si="5"/>
        <v>15.936254980079763</v>
      </c>
      <c r="J311" s="10" t="str">
        <f t="shared" si="6"/>
        <v>Call Spread</v>
      </c>
      <c r="K311" s="10" t="str">
        <f t="shared" ca="1" si="7"/>
        <v>Success</v>
      </c>
    </row>
    <row r="312" spans="1:11" ht="16">
      <c r="A312" s="1" t="s">
        <v>331</v>
      </c>
      <c r="B312" s="7" t="s">
        <v>14</v>
      </c>
      <c r="C312" s="8">
        <v>17.86</v>
      </c>
      <c r="D312" s="8" t="s">
        <v>15</v>
      </c>
      <c r="E312" s="8">
        <v>16</v>
      </c>
      <c r="F312" s="8">
        <f ca="1">IFERROR(__xludf.DUMMYFUNCTION("INDEX(GOOGLEFINANCE(A312, ""open"", DATE(2025,2,3), DATE(2025,2,3)), 2, 2)"),17.37)</f>
        <v>17.37</v>
      </c>
      <c r="G312" s="8">
        <f ca="1">IFERROR(__xludf.DUMMYFUNCTION("INDEX(GOOGLEFINANCE(A312, ""close"", DATE(2025,2,7), DATE(2025,2,7)), 2, 2)"),18.68)</f>
        <v>18.68</v>
      </c>
      <c r="H312" s="9">
        <f t="shared" ca="1" si="4"/>
        <v>7.5417386298215234</v>
      </c>
      <c r="I312" s="10">
        <f t="shared" ca="1" si="5"/>
        <v>75.417386298215234</v>
      </c>
      <c r="J312" s="10" t="str">
        <f t="shared" si="6"/>
        <v>Put Spread</v>
      </c>
      <c r="K312" s="10" t="str">
        <f t="shared" ca="1" si="7"/>
        <v>Success</v>
      </c>
    </row>
    <row r="313" spans="1:11" ht="16">
      <c r="A313" s="1" t="s">
        <v>332</v>
      </c>
      <c r="B313" s="7" t="s">
        <v>38</v>
      </c>
      <c r="C313" s="8">
        <v>62.79</v>
      </c>
      <c r="D313" s="8" t="s">
        <v>39</v>
      </c>
      <c r="E313" s="8">
        <v>72.17</v>
      </c>
      <c r="F313" s="8">
        <f ca="1">IFERROR(__xludf.DUMMYFUNCTION("INDEX(GOOGLEFINANCE(A313, ""open"", DATE(2025,2,3), DATE(2025,2,3)), 2, 2)"),65.75)</f>
        <v>65.75</v>
      </c>
      <c r="G313" s="8">
        <f ca="1">IFERROR(__xludf.DUMMYFUNCTION("INDEX(GOOGLEFINANCE(A313, ""close"", DATE(2025,2,7), DATE(2025,2,7)), 2, 2)"),63.59)</f>
        <v>63.59</v>
      </c>
      <c r="H313" s="9">
        <f t="shared" ca="1" si="4"/>
        <v>3.2851711026615917</v>
      </c>
      <c r="I313" s="10">
        <f t="shared" ca="1" si="5"/>
        <v>32.851711026615916</v>
      </c>
      <c r="J313" s="10" t="str">
        <f t="shared" si="6"/>
        <v>Call Spread</v>
      </c>
      <c r="K313" s="10" t="str">
        <f t="shared" ca="1" si="7"/>
        <v>Success</v>
      </c>
    </row>
    <row r="314" spans="1:11" ht="16">
      <c r="A314" s="1" t="s">
        <v>333</v>
      </c>
      <c r="B314" s="7" t="s">
        <v>14</v>
      </c>
      <c r="C314" s="8">
        <v>56.96</v>
      </c>
      <c r="D314" s="8" t="s">
        <v>15</v>
      </c>
      <c r="E314" s="8">
        <v>47.6</v>
      </c>
      <c r="F314" s="8">
        <f ca="1">IFERROR(__xludf.DUMMYFUNCTION("INDEX(GOOGLEFINANCE(A314, ""open"", DATE(2025,2,3), DATE(2025,2,3)), 2, 2)"),50.44)</f>
        <v>50.44</v>
      </c>
      <c r="G314" s="8">
        <f ca="1">IFERROR(__xludf.DUMMYFUNCTION("INDEX(GOOGLEFINANCE(A314, ""close"", DATE(2025,2,7), DATE(2025,2,7)), 2, 2)"),42.67)</f>
        <v>42.67</v>
      </c>
      <c r="H314" s="9">
        <f t="shared" ca="1" si="4"/>
        <v>-15.404440919904831</v>
      </c>
      <c r="I314" s="10">
        <f t="shared" ca="1" si="5"/>
        <v>-154.04440919904832</v>
      </c>
      <c r="J314" s="10" t="str">
        <f t="shared" si="6"/>
        <v>Put Spread</v>
      </c>
      <c r="K314" s="10" t="str">
        <f t="shared" ca="1" si="7"/>
        <v>No</v>
      </c>
    </row>
    <row r="315" spans="1:11" ht="16">
      <c r="A315" s="1" t="s">
        <v>334</v>
      </c>
      <c r="B315" s="7" t="s">
        <v>14</v>
      </c>
      <c r="C315" s="8">
        <v>55.68</v>
      </c>
      <c r="D315" s="8" t="s">
        <v>15</v>
      </c>
      <c r="E315" s="8">
        <v>52.55</v>
      </c>
      <c r="F315" s="8">
        <f ca="1">IFERROR(__xludf.DUMMYFUNCTION("INDEX(GOOGLEFINANCE(A315, ""open"", DATE(2025,2,3), DATE(2025,2,3)), 2, 2)"),53.3)</f>
        <v>53.3</v>
      </c>
      <c r="G315" s="8">
        <f ca="1">IFERROR(__xludf.DUMMYFUNCTION("INDEX(GOOGLEFINANCE(A315, ""close"", DATE(2025,2,7), DATE(2025,2,7)), 2, 2)"),55.93)</f>
        <v>55.93</v>
      </c>
      <c r="H315" s="9">
        <f t="shared" ca="1" si="4"/>
        <v>4.9343339587242072</v>
      </c>
      <c r="I315" s="10">
        <f t="shared" ca="1" si="5"/>
        <v>49.34333958724207</v>
      </c>
      <c r="J315" s="10" t="str">
        <f t="shared" si="6"/>
        <v>Put Spread</v>
      </c>
      <c r="K315" s="10" t="str">
        <f t="shared" ca="1" si="7"/>
        <v>Success</v>
      </c>
    </row>
    <row r="316" spans="1:11" ht="16">
      <c r="A316" s="1" t="s">
        <v>335</v>
      </c>
      <c r="B316" s="7" t="s">
        <v>14</v>
      </c>
      <c r="C316" s="8">
        <v>100.31</v>
      </c>
      <c r="D316" s="8" t="s">
        <v>15</v>
      </c>
      <c r="E316" s="8">
        <v>94.09</v>
      </c>
      <c r="F316" s="8">
        <f ca="1">IFERROR(__xludf.DUMMYFUNCTION("INDEX(GOOGLEFINANCE(A316, ""open"", DATE(2025,2,3), DATE(2025,2,3)), 2, 2)"),97.03)</f>
        <v>97.03</v>
      </c>
      <c r="G316" s="8">
        <f ca="1">IFERROR(__xludf.DUMMYFUNCTION("INDEX(GOOGLEFINANCE(A316, ""close"", DATE(2025,2,7), DATE(2025,2,7)), 2, 2)"),96.04)</f>
        <v>96.04</v>
      </c>
      <c r="H316" s="9">
        <f t="shared" ca="1" si="4"/>
        <v>-1.0203029990724466</v>
      </c>
      <c r="I316" s="10">
        <f t="shared" ca="1" si="5"/>
        <v>-10.203029990724467</v>
      </c>
      <c r="J316" s="10" t="str">
        <f t="shared" si="6"/>
        <v>Put Spread</v>
      </c>
      <c r="K316" s="10" t="str">
        <f t="shared" ca="1" si="7"/>
        <v>Success</v>
      </c>
    </row>
    <row r="317" spans="1:11" ht="16">
      <c r="A317" s="1" t="s">
        <v>336</v>
      </c>
      <c r="B317" s="7" t="s">
        <v>14</v>
      </c>
      <c r="C317" s="8">
        <v>62.03</v>
      </c>
      <c r="D317" s="8" t="s">
        <v>15</v>
      </c>
      <c r="E317" s="8">
        <v>58.25</v>
      </c>
      <c r="F317" s="8">
        <f ca="1">IFERROR(__xludf.DUMMYFUNCTION("INDEX(GOOGLEFINANCE(A317, ""open"", DATE(2025,2,3), DATE(2025,2,3)), 2, 2)"),59.86)</f>
        <v>59.86</v>
      </c>
      <c r="G317" s="8">
        <f ca="1">IFERROR(__xludf.DUMMYFUNCTION("INDEX(GOOGLEFINANCE(A317, ""close"", DATE(2025,2,7), DATE(2025,2,7)), 2, 2)"),58.82)</f>
        <v>58.82</v>
      </c>
      <c r="H317" s="9">
        <f t="shared" ca="1" si="4"/>
        <v>-1.7373872368860659</v>
      </c>
      <c r="I317" s="10">
        <f t="shared" ca="1" si="5"/>
        <v>-17.37387236886066</v>
      </c>
      <c r="J317" s="10" t="str">
        <f t="shared" si="6"/>
        <v>Put Spread</v>
      </c>
      <c r="K317" s="10" t="str">
        <f t="shared" ca="1" si="7"/>
        <v>Success</v>
      </c>
    </row>
    <row r="318" spans="1:11" ht="16">
      <c r="A318" s="1" t="s">
        <v>337</v>
      </c>
      <c r="B318" s="7" t="s">
        <v>14</v>
      </c>
      <c r="C318" s="8">
        <v>64.47</v>
      </c>
      <c r="D318" s="8" t="s">
        <v>15</v>
      </c>
      <c r="E318" s="8">
        <v>55.31</v>
      </c>
      <c r="F318" s="8">
        <f ca="1">IFERROR(__xludf.DUMMYFUNCTION("INDEX(GOOGLEFINANCE(A318, ""open"", DATE(2025,2,3), DATE(2025,2,3)), 2, 2)"),58.15)</f>
        <v>58.15</v>
      </c>
      <c r="G318" s="8">
        <f ca="1">IFERROR(__xludf.DUMMYFUNCTION("INDEX(GOOGLEFINANCE(A318, ""close"", DATE(2025,2,7), DATE(2025,2,7)), 2, 2)"),59.49)</f>
        <v>59.49</v>
      </c>
      <c r="H318" s="9">
        <f t="shared" ca="1" si="4"/>
        <v>2.3043852106620868</v>
      </c>
      <c r="I318" s="10">
        <f t="shared" ca="1" si="5"/>
        <v>23.043852106620864</v>
      </c>
      <c r="J318" s="10" t="str">
        <f t="shared" si="6"/>
        <v>Put Spread</v>
      </c>
      <c r="K318" s="10" t="str">
        <f t="shared" ca="1" si="7"/>
        <v>Success</v>
      </c>
    </row>
    <row r="319" spans="1:11" ht="16">
      <c r="A319" s="1" t="s">
        <v>338</v>
      </c>
      <c r="B319" s="7" t="s">
        <v>14</v>
      </c>
      <c r="C319" s="8">
        <v>263.61</v>
      </c>
      <c r="D319" s="8" t="s">
        <v>15</v>
      </c>
      <c r="E319" s="8">
        <v>253.51</v>
      </c>
      <c r="F319" s="8">
        <f ca="1">IFERROR(__xludf.DUMMYFUNCTION("INDEX(GOOGLEFINANCE(A319, ""open"", DATE(2025,2,3), DATE(2025,2,3)), 2, 2)"),259.75)</f>
        <v>259.75</v>
      </c>
      <c r="G319" s="8">
        <f ca="1">IFERROR(__xludf.DUMMYFUNCTION("INDEX(GOOGLEFINANCE(A319, ""close"", DATE(2025,2,7), DATE(2025,2,7)), 2, 2)"),263.9)</f>
        <v>263.89999999999998</v>
      </c>
      <c r="H319" s="9">
        <f t="shared" ca="1" si="4"/>
        <v>1.5976900866217429</v>
      </c>
      <c r="I319" s="10">
        <f t="shared" ca="1" si="5"/>
        <v>15.976900866217429</v>
      </c>
      <c r="J319" s="10" t="str">
        <f t="shared" si="6"/>
        <v>Put Spread</v>
      </c>
      <c r="K319" s="10" t="str">
        <f t="shared" ca="1" si="7"/>
        <v>Success</v>
      </c>
    </row>
    <row r="320" spans="1:11" ht="16">
      <c r="A320" s="1" t="s">
        <v>339</v>
      </c>
      <c r="B320" s="7" t="s">
        <v>14</v>
      </c>
      <c r="C320" s="8">
        <v>43.39</v>
      </c>
      <c r="D320" s="8" t="s">
        <v>15</v>
      </c>
      <c r="E320" s="8">
        <v>38.11</v>
      </c>
      <c r="F320" s="8">
        <f ca="1">IFERROR(__xludf.DUMMYFUNCTION("INDEX(GOOGLEFINANCE(A320, ""open"", DATE(2025,2,3), DATE(2025,2,3)), 2, 2)"),39.65)</f>
        <v>39.65</v>
      </c>
      <c r="G320" s="8">
        <f ca="1">IFERROR(__xludf.DUMMYFUNCTION("INDEX(GOOGLEFINANCE(A320, ""close"", DATE(2025,2,7), DATE(2025,2,7)), 2, 2)"),40.7)</f>
        <v>40.700000000000003</v>
      </c>
      <c r="H320" s="9">
        <f t="shared" ca="1" si="4"/>
        <v>2.6481715006305278</v>
      </c>
      <c r="I320" s="10">
        <f t="shared" ca="1" si="5"/>
        <v>26.481715006305276</v>
      </c>
      <c r="J320" s="10" t="str">
        <f t="shared" si="6"/>
        <v>Put Spread</v>
      </c>
      <c r="K320" s="10" t="str">
        <f t="shared" ca="1" si="7"/>
        <v>Success</v>
      </c>
    </row>
    <row r="321" spans="1:11" ht="16">
      <c r="A321" s="1" t="s">
        <v>340</v>
      </c>
      <c r="B321" s="7" t="s">
        <v>14</v>
      </c>
      <c r="C321" s="8">
        <v>15.49</v>
      </c>
      <c r="D321" s="8" t="s">
        <v>15</v>
      </c>
      <c r="E321" s="8">
        <v>-14.95</v>
      </c>
      <c r="F321" s="8">
        <f ca="1">IFERROR(__xludf.DUMMYFUNCTION("INDEX(GOOGLEFINANCE(A321, ""open"", DATE(2025,2,3), DATE(2025,2,3)), 2, 2)"),0.24)</f>
        <v>0.24</v>
      </c>
      <c r="G321" s="8">
        <f ca="1">IFERROR(__xludf.DUMMYFUNCTION("INDEX(GOOGLEFINANCE(A321, ""close"", DATE(2025,2,7), DATE(2025,2,7)), 2, 2)"),0.27)</f>
        <v>0.27</v>
      </c>
      <c r="H321" s="9">
        <f t="shared" ca="1" si="4"/>
        <v>12.500000000000011</v>
      </c>
      <c r="I321" s="10">
        <f t="shared" ca="1" si="5"/>
        <v>125.00000000000011</v>
      </c>
      <c r="J321" s="10" t="str">
        <f t="shared" si="6"/>
        <v>Put Spread</v>
      </c>
      <c r="K321" s="10" t="str">
        <f t="shared" ca="1" si="7"/>
        <v>Success</v>
      </c>
    </row>
    <row r="322" spans="1:11" ht="16">
      <c r="A322" s="1" t="s">
        <v>341</v>
      </c>
      <c r="B322" s="7" t="s">
        <v>14</v>
      </c>
      <c r="C322" s="8">
        <v>51.8</v>
      </c>
      <c r="D322" s="8" t="s">
        <v>15</v>
      </c>
      <c r="E322" s="8">
        <v>47.12</v>
      </c>
      <c r="F322" s="8">
        <f ca="1">IFERROR(__xludf.DUMMYFUNCTION("INDEX(GOOGLEFINANCE(A322, ""open"", DATE(2025,2,3), DATE(2025,2,3)), 2, 2)"),46.5)</f>
        <v>46.5</v>
      </c>
      <c r="G322" s="8">
        <f ca="1">IFERROR(__xludf.DUMMYFUNCTION("INDEX(GOOGLEFINANCE(A322, ""close"", DATE(2025,2,7), DATE(2025,2,7)), 2, 2)"),47.39)</f>
        <v>47.39</v>
      </c>
      <c r="H322" s="9">
        <f t="shared" ca="1" si="4"/>
        <v>1.9139784946236571</v>
      </c>
      <c r="I322" s="10">
        <f t="shared" ca="1" si="5"/>
        <v>19.139784946236571</v>
      </c>
      <c r="J322" s="10" t="str">
        <f t="shared" si="6"/>
        <v>Put Spread</v>
      </c>
      <c r="K322" s="10" t="str">
        <f t="shared" ca="1" si="7"/>
        <v>Success</v>
      </c>
    </row>
    <row r="323" spans="1:11" ht="16">
      <c r="A323" s="1" t="s">
        <v>342</v>
      </c>
      <c r="B323" s="7" t="s">
        <v>14</v>
      </c>
      <c r="C323" s="8">
        <v>29.62</v>
      </c>
      <c r="D323" s="8" t="s">
        <v>15</v>
      </c>
      <c r="E323" s="8">
        <v>24.18</v>
      </c>
      <c r="F323" s="8">
        <f ca="1">IFERROR(__xludf.DUMMYFUNCTION("INDEX(GOOGLEFINANCE(A323, ""open"", DATE(2025,2,3), DATE(2025,2,3)), 2, 2)"),25.57)</f>
        <v>25.57</v>
      </c>
      <c r="G323" s="8">
        <f ca="1">IFERROR(__xludf.DUMMYFUNCTION("INDEX(GOOGLEFINANCE(A323, ""close"", DATE(2025,2,7), DATE(2025,2,7)), 2, 2)"),24.73)</f>
        <v>24.73</v>
      </c>
      <c r="H323" s="9">
        <f t="shared" ca="1" si="4"/>
        <v>-3.2850997262416888</v>
      </c>
      <c r="I323" s="10">
        <f t="shared" ca="1" si="5"/>
        <v>-32.850997262416882</v>
      </c>
      <c r="J323" s="10" t="str">
        <f t="shared" si="6"/>
        <v>Put Spread</v>
      </c>
      <c r="K323" s="10" t="str">
        <f t="shared" ca="1" si="7"/>
        <v>Success</v>
      </c>
    </row>
    <row r="324" spans="1:11" ht="16">
      <c r="A324" s="1" t="s">
        <v>343</v>
      </c>
      <c r="B324" s="7" t="s">
        <v>14</v>
      </c>
      <c r="C324" s="8">
        <v>17.38</v>
      </c>
      <c r="D324" s="8" t="s">
        <v>15</v>
      </c>
      <c r="E324" s="8">
        <v>15.36</v>
      </c>
      <c r="F324" s="8">
        <f ca="1">IFERROR(__xludf.DUMMYFUNCTION("INDEX(GOOGLEFINANCE(A324, ""open"", DATE(2025,2,3), DATE(2025,2,3)), 2, 2)"),16.42)</f>
        <v>16.420000000000002</v>
      </c>
      <c r="G324" s="8">
        <f ca="1">IFERROR(__xludf.DUMMYFUNCTION("INDEX(GOOGLEFINANCE(A324, ""close"", DATE(2025,2,7), DATE(2025,2,7)), 2, 2)"),17.04)</f>
        <v>17.04</v>
      </c>
      <c r="H324" s="9">
        <f t="shared" ca="1" si="4"/>
        <v>3.7758830694275116</v>
      </c>
      <c r="I324" s="10">
        <f t="shared" ca="1" si="5"/>
        <v>37.758830694275119</v>
      </c>
      <c r="J324" s="10" t="str">
        <f t="shared" si="6"/>
        <v>Put Spread</v>
      </c>
      <c r="K324" s="10" t="str">
        <f t="shared" ca="1" si="7"/>
        <v>Success</v>
      </c>
    </row>
    <row r="325" spans="1:11" ht="16">
      <c r="A325" s="1" t="s">
        <v>344</v>
      </c>
      <c r="B325" s="7" t="s">
        <v>14</v>
      </c>
      <c r="C325" s="8">
        <v>214.86</v>
      </c>
      <c r="D325" s="8" t="s">
        <v>15</v>
      </c>
      <c r="E325" s="8">
        <v>196.34</v>
      </c>
      <c r="F325" s="8">
        <f ca="1">IFERROR(__xludf.DUMMYFUNCTION("INDEX(GOOGLEFINANCE(A325, ""open"", DATE(2025,2,3), DATE(2025,2,3)), 2, 2)"),202.22)</f>
        <v>202.22</v>
      </c>
      <c r="G325" s="8">
        <f ca="1">IFERROR(__xludf.DUMMYFUNCTION("INDEX(GOOGLEFINANCE(A325, ""close"", DATE(2025,2,7), DATE(2025,2,7)), 2, 2)"),187.14)</f>
        <v>187.14</v>
      </c>
      <c r="H325" s="9">
        <f t="shared" ca="1" si="4"/>
        <v>-7.457224804668189</v>
      </c>
      <c r="I325" s="10">
        <f t="shared" ca="1" si="5"/>
        <v>-74.572248046681892</v>
      </c>
      <c r="J325" s="10" t="str">
        <f t="shared" si="6"/>
        <v>Put Spread</v>
      </c>
      <c r="K325" s="10" t="str">
        <f t="shared" ca="1" si="7"/>
        <v>No</v>
      </c>
    </row>
    <row r="326" spans="1:11" ht="16">
      <c r="A326" s="1" t="s">
        <v>345</v>
      </c>
      <c r="B326" s="7" t="s">
        <v>14</v>
      </c>
      <c r="C326" s="8">
        <v>213.26</v>
      </c>
      <c r="D326" s="8" t="s">
        <v>15</v>
      </c>
      <c r="E326" s="8">
        <v>194.78</v>
      </c>
      <c r="F326" s="8">
        <f ca="1">IFERROR(__xludf.DUMMYFUNCTION("INDEX(GOOGLEFINANCE(A326, ""open"", DATE(2025,2,3), DATE(2025,2,3)), 2, 2)"),200.69)</f>
        <v>200.69</v>
      </c>
      <c r="G326" s="8">
        <f ca="1">IFERROR(__xludf.DUMMYFUNCTION("INDEX(GOOGLEFINANCE(A326, ""close"", DATE(2025,2,7), DATE(2025,2,7)), 2, 2)"),185.34)</f>
        <v>185.34</v>
      </c>
      <c r="H326" s="9">
        <f t="shared" ca="1" si="4"/>
        <v>-7.6486122876077509</v>
      </c>
      <c r="I326" s="10">
        <f t="shared" ca="1" si="5"/>
        <v>-76.486122876077502</v>
      </c>
      <c r="J326" s="10" t="str">
        <f t="shared" si="6"/>
        <v>Put Spread</v>
      </c>
      <c r="K326" s="10" t="str">
        <f t="shared" ca="1" si="7"/>
        <v>No</v>
      </c>
    </row>
    <row r="327" spans="1:11" ht="16">
      <c r="A327" s="1" t="s">
        <v>346</v>
      </c>
      <c r="B327" s="7" t="s">
        <v>14</v>
      </c>
      <c r="C327" s="8">
        <v>22.92</v>
      </c>
      <c r="D327" s="8" t="s">
        <v>15</v>
      </c>
      <c r="E327" s="8">
        <v>22.24</v>
      </c>
      <c r="F327" s="8">
        <f ca="1">IFERROR(__xludf.DUMMYFUNCTION("INDEX(GOOGLEFINANCE(A327, ""open"", DATE(2025,2,3), DATE(2025,2,3)), 2, 2)"),4.28)</f>
        <v>4.28</v>
      </c>
      <c r="G327" s="8">
        <f ca="1">IFERROR(__xludf.DUMMYFUNCTION("INDEX(GOOGLEFINANCE(A327, ""close"", DATE(2025,2,7), DATE(2025,2,7)), 2, 2)"),4.29)</f>
        <v>4.29</v>
      </c>
      <c r="H327" s="9">
        <f t="shared" ca="1" si="4"/>
        <v>0.23364485981307911</v>
      </c>
      <c r="I327" s="10">
        <f t="shared" ca="1" si="5"/>
        <v>2.336448598130791</v>
      </c>
      <c r="J327" s="10" t="str">
        <f t="shared" si="6"/>
        <v>Put Spread</v>
      </c>
      <c r="K327" s="10" t="str">
        <f t="shared" ca="1" si="7"/>
        <v>No</v>
      </c>
    </row>
    <row r="328" spans="1:11" ht="16">
      <c r="A328" s="1" t="s">
        <v>347</v>
      </c>
      <c r="B328" s="7" t="s">
        <v>14</v>
      </c>
      <c r="C328" s="8">
        <v>120.79</v>
      </c>
      <c r="D328" s="8" t="s">
        <v>15</v>
      </c>
      <c r="E328" s="8">
        <v>111.71</v>
      </c>
      <c r="F328" s="8">
        <f ca="1">IFERROR(__xludf.DUMMYFUNCTION("INDEX(GOOGLEFINANCE(A328, ""open"", DATE(2025,2,3), DATE(2025,2,3)), 2, 2)"),114.43)</f>
        <v>114.43</v>
      </c>
      <c r="G328" s="8">
        <f ca="1">IFERROR(__xludf.DUMMYFUNCTION("INDEX(GOOGLEFINANCE(A328, ""close"", DATE(2025,2,7), DATE(2025,2,7)), 2, 2)"),117.74)</f>
        <v>117.74</v>
      </c>
      <c r="H328" s="9">
        <f t="shared" ca="1" si="4"/>
        <v>2.8925980949051717</v>
      </c>
      <c r="I328" s="10">
        <f t="shared" ca="1" si="5"/>
        <v>28.92598094905172</v>
      </c>
      <c r="J328" s="10" t="str">
        <f t="shared" si="6"/>
        <v>Put Spread</v>
      </c>
      <c r="K328" s="10" t="str">
        <f t="shared" ca="1" si="7"/>
        <v>Success</v>
      </c>
    </row>
    <row r="329" spans="1:11" ht="16">
      <c r="A329" s="1" t="s">
        <v>348</v>
      </c>
      <c r="B329" s="7" t="s">
        <v>14</v>
      </c>
      <c r="C329" s="8">
        <v>5.01</v>
      </c>
      <c r="D329" s="8" t="s">
        <v>15</v>
      </c>
      <c r="E329" s="8">
        <v>4.1500000000000004</v>
      </c>
      <c r="F329" s="8">
        <f ca="1">IFERROR(__xludf.DUMMYFUNCTION("INDEX(GOOGLEFINANCE(A329, ""open"", DATE(2025,2,3), DATE(2025,2,3)), 2, 2)"),4.49)</f>
        <v>4.49</v>
      </c>
      <c r="G329" s="8">
        <f ca="1">IFERROR(__xludf.DUMMYFUNCTION("INDEX(GOOGLEFINANCE(A329, ""close"", DATE(2025,2,7), DATE(2025,2,7)), 2, 2)"),4.79)</f>
        <v>4.79</v>
      </c>
      <c r="H329" s="9">
        <f t="shared" ca="1" si="4"/>
        <v>6.6815144766146943</v>
      </c>
      <c r="I329" s="10">
        <f t="shared" ca="1" si="5"/>
        <v>66.815144766146943</v>
      </c>
      <c r="J329" s="10" t="str">
        <f t="shared" si="6"/>
        <v>Put Spread</v>
      </c>
      <c r="K329" s="10" t="str">
        <f t="shared" ca="1" si="7"/>
        <v>Success</v>
      </c>
    </row>
    <row r="330" spans="1:11" ht="16">
      <c r="A330" s="1" t="s">
        <v>349</v>
      </c>
      <c r="B330" s="7" t="s">
        <v>14</v>
      </c>
      <c r="C330" s="8">
        <v>12.4</v>
      </c>
      <c r="D330" s="8" t="s">
        <v>15</v>
      </c>
      <c r="E330" s="8">
        <v>8.5399999999999991</v>
      </c>
      <c r="F330" s="8">
        <f ca="1">IFERROR(__xludf.DUMMYFUNCTION("INDEX(GOOGLEFINANCE(A330, ""open"", DATE(2025,2,3), DATE(2025,2,3)), 2, 2)"),10.14)</f>
        <v>10.14</v>
      </c>
      <c r="G330" s="8">
        <f ca="1">IFERROR(__xludf.DUMMYFUNCTION("INDEX(GOOGLEFINANCE(A330, ""close"", DATE(2025,2,7), DATE(2025,2,7)), 2, 2)"),11.75)</f>
        <v>11.75</v>
      </c>
      <c r="H330" s="9">
        <f t="shared" ca="1" si="4"/>
        <v>15.877712031558177</v>
      </c>
      <c r="I330" s="10">
        <f t="shared" ca="1" si="5"/>
        <v>158.77712031558178</v>
      </c>
      <c r="J330" s="10" t="str">
        <f t="shared" si="6"/>
        <v>Put Spread</v>
      </c>
      <c r="K330" s="10" t="str">
        <f t="shared" ca="1" si="7"/>
        <v>Success</v>
      </c>
    </row>
    <row r="331" spans="1:11" ht="16">
      <c r="A331" s="1" t="s">
        <v>350</v>
      </c>
      <c r="B331" s="7" t="s">
        <v>14</v>
      </c>
      <c r="C331" s="8">
        <v>659.75</v>
      </c>
      <c r="D331" s="8" t="s">
        <v>15</v>
      </c>
      <c r="E331" s="8">
        <v>621.04999999999995</v>
      </c>
      <c r="F331" s="8">
        <f ca="1">IFERROR(__xludf.DUMMYFUNCTION("INDEX(GOOGLEFINANCE(A331, ""open"", DATE(2025,2,3), DATE(2025,2,3)), 2, 2)"),626)</f>
        <v>626</v>
      </c>
      <c r="G331" s="8">
        <f ca="1">IFERROR(__xludf.DUMMYFUNCTION("INDEX(GOOGLEFINANCE(A331, ""close"", DATE(2025,2,7), DATE(2025,2,7)), 2, 2)"),655.9)</f>
        <v>655.9</v>
      </c>
      <c r="H331" s="9">
        <f t="shared" ca="1" si="4"/>
        <v>4.7763578274760343</v>
      </c>
      <c r="I331" s="10">
        <f t="shared" ca="1" si="5"/>
        <v>47.763578274760341</v>
      </c>
      <c r="J331" s="10" t="str">
        <f t="shared" si="6"/>
        <v>Put Spread</v>
      </c>
      <c r="K331" s="10" t="str">
        <f t="shared" ca="1" si="7"/>
        <v>Success</v>
      </c>
    </row>
    <row r="332" spans="1:11" ht="16">
      <c r="A332" s="1" t="s">
        <v>351</v>
      </c>
      <c r="B332" s="7" t="s">
        <v>14</v>
      </c>
      <c r="C332" s="8">
        <v>1.74</v>
      </c>
      <c r="D332" s="8" t="s">
        <v>15</v>
      </c>
      <c r="E332" s="8">
        <v>1.32</v>
      </c>
      <c r="F332" s="8">
        <f ca="1">IFERROR(__xludf.DUMMYFUNCTION("INDEX(GOOGLEFINANCE(A332, ""open"", DATE(2025,2,3), DATE(2025,2,3)), 2, 2)"),1.43)</f>
        <v>1.43</v>
      </c>
      <c r="G332" s="8">
        <f ca="1">IFERROR(__xludf.DUMMYFUNCTION("INDEX(GOOGLEFINANCE(A332, ""close"", DATE(2025,2,7), DATE(2025,2,7)), 2, 2)"),1.51)</f>
        <v>1.51</v>
      </c>
      <c r="H332" s="9">
        <f t="shared" ca="1" si="4"/>
        <v>5.5944055944056004</v>
      </c>
      <c r="I332" s="10">
        <f t="shared" ca="1" si="5"/>
        <v>55.944055944055997</v>
      </c>
      <c r="J332" s="10" t="str">
        <f t="shared" si="6"/>
        <v>Put Spread</v>
      </c>
      <c r="K332" s="10" t="str">
        <f t="shared" ca="1" si="7"/>
        <v>Success</v>
      </c>
    </row>
    <row r="333" spans="1:11" ht="16">
      <c r="A333" s="1" t="s">
        <v>352</v>
      </c>
      <c r="B333" s="7" t="s">
        <v>14</v>
      </c>
      <c r="C333" s="8">
        <v>78.88</v>
      </c>
      <c r="D333" s="8" t="s">
        <v>15</v>
      </c>
      <c r="E333" s="8">
        <v>66.64</v>
      </c>
      <c r="F333" s="8">
        <f ca="1">IFERROR(__xludf.DUMMYFUNCTION("INDEX(GOOGLEFINANCE(A333, ""open"", DATE(2025,2,3), DATE(2025,2,3)), 2, 2)"),70)</f>
        <v>70</v>
      </c>
      <c r="G333" s="8">
        <f ca="1">IFERROR(__xludf.DUMMYFUNCTION("INDEX(GOOGLEFINANCE(A333, ""close"", DATE(2025,2,7), DATE(2025,2,7)), 2, 2)"),70.55)</f>
        <v>70.55</v>
      </c>
      <c r="H333" s="9">
        <f t="shared" ca="1" si="4"/>
        <v>0.78571428571428159</v>
      </c>
      <c r="I333" s="10">
        <f t="shared" ca="1" si="5"/>
        <v>7.8571428571428159</v>
      </c>
      <c r="J333" s="10" t="str">
        <f t="shared" si="6"/>
        <v>Put Spread</v>
      </c>
      <c r="K333" s="10" t="str">
        <f t="shared" ca="1" si="7"/>
        <v>Success</v>
      </c>
    </row>
    <row r="334" spans="1:11" ht="16">
      <c r="A334" s="1" t="s">
        <v>353</v>
      </c>
      <c r="B334" s="7" t="s">
        <v>14</v>
      </c>
      <c r="C334" s="8">
        <v>30.29</v>
      </c>
      <c r="D334" s="8" t="s">
        <v>15</v>
      </c>
      <c r="E334" s="8">
        <v>26.41</v>
      </c>
      <c r="F334" s="8">
        <f ca="1">IFERROR(__xludf.DUMMYFUNCTION("INDEX(GOOGLEFINANCE(A334, ""open"", DATE(2025,2,3), DATE(2025,2,3)), 2, 2)"),28.39)</f>
        <v>28.39</v>
      </c>
      <c r="G334" s="8">
        <f ca="1">IFERROR(__xludf.DUMMYFUNCTION("INDEX(GOOGLEFINANCE(A334, ""close"", DATE(2025,2,7), DATE(2025,2,7)), 2, 2)"),27.94)</f>
        <v>27.94</v>
      </c>
      <c r="H334" s="9">
        <f t="shared" ca="1" si="4"/>
        <v>-1.5850651637900643</v>
      </c>
      <c r="I334" s="10">
        <f t="shared" ca="1" si="5"/>
        <v>-15.850651637900643</v>
      </c>
      <c r="J334" s="10" t="str">
        <f t="shared" si="6"/>
        <v>Put Spread</v>
      </c>
      <c r="K334" s="10" t="str">
        <f t="shared" ca="1" si="7"/>
        <v>Success</v>
      </c>
    </row>
    <row r="335" spans="1:11" ht="16">
      <c r="A335" s="1" t="s">
        <v>354</v>
      </c>
      <c r="B335" s="7" t="s">
        <v>14</v>
      </c>
      <c r="C335" s="8">
        <v>164.72</v>
      </c>
      <c r="D335" s="8" t="s">
        <v>15</v>
      </c>
      <c r="E335" s="8">
        <v>151.74</v>
      </c>
      <c r="F335" s="8">
        <f ca="1">IFERROR(__xludf.DUMMYFUNCTION("INDEX(GOOGLEFINANCE(A335, ""open"", DATE(2025,2,3), DATE(2025,2,3)), 2, 2)"),155)</f>
        <v>155</v>
      </c>
      <c r="G335" s="8">
        <f ca="1">IFERROR(__xludf.DUMMYFUNCTION("INDEX(GOOGLEFINANCE(A335, ""close"", DATE(2025,2,7), DATE(2025,2,7)), 2, 2)"),164.02)</f>
        <v>164.02</v>
      </c>
      <c r="H335" s="9">
        <f t="shared" ca="1" si="4"/>
        <v>5.8193548387096836</v>
      </c>
      <c r="I335" s="10">
        <f t="shared" ca="1" si="5"/>
        <v>58.193548387096833</v>
      </c>
      <c r="J335" s="10" t="str">
        <f t="shared" si="6"/>
        <v>Put Spread</v>
      </c>
      <c r="K335" s="10" t="str">
        <f t="shared" ca="1" si="7"/>
        <v>Success</v>
      </c>
    </row>
    <row r="336" spans="1:11" ht="16">
      <c r="A336" s="1" t="s">
        <v>355</v>
      </c>
      <c r="B336" s="7" t="s">
        <v>38</v>
      </c>
      <c r="C336" s="8">
        <v>24.83</v>
      </c>
      <c r="D336" s="8" t="s">
        <v>39</v>
      </c>
      <c r="E336" s="8">
        <v>27.21</v>
      </c>
      <c r="F336" s="8">
        <f ca="1">IFERROR(__xludf.DUMMYFUNCTION("INDEX(GOOGLEFINANCE(A336, ""open"", DATE(2025,2,3), DATE(2025,2,3)), 2, 2)"),25.69)</f>
        <v>25.69</v>
      </c>
      <c r="G336" s="8">
        <f ca="1">IFERROR(__xludf.DUMMYFUNCTION("INDEX(GOOGLEFINANCE(A336, ""close"", DATE(2025,2,7), DATE(2025,2,7)), 2, 2)"),25.19)</f>
        <v>25.19</v>
      </c>
      <c r="H336" s="9">
        <f t="shared" ca="1" si="4"/>
        <v>1.9462826002335536</v>
      </c>
      <c r="I336" s="10">
        <f t="shared" ca="1" si="5"/>
        <v>19.462826002335536</v>
      </c>
      <c r="J336" s="10" t="str">
        <f t="shared" si="6"/>
        <v>Call Spread</v>
      </c>
      <c r="K336" s="10" t="str">
        <f t="shared" ca="1" si="7"/>
        <v>Success</v>
      </c>
    </row>
    <row r="337" spans="1:11" ht="16">
      <c r="A337" s="1" t="s">
        <v>356</v>
      </c>
      <c r="B337" s="7" t="s">
        <v>38</v>
      </c>
      <c r="C337" s="8">
        <v>49.27</v>
      </c>
      <c r="D337" s="8" t="s">
        <v>39</v>
      </c>
      <c r="E337" s="8">
        <v>56.27</v>
      </c>
      <c r="F337" s="8">
        <f ca="1">IFERROR(__xludf.DUMMYFUNCTION("INDEX(GOOGLEFINANCE(A337, ""open"", DATE(2025,2,3), DATE(2025,2,3)), 2, 2)"),52)</f>
        <v>52</v>
      </c>
      <c r="G337" s="8">
        <f ca="1">IFERROR(__xludf.DUMMYFUNCTION("INDEX(GOOGLEFINANCE(A337, ""close"", DATE(2025,2,7), DATE(2025,2,7)), 2, 2)"),52.41)</f>
        <v>52.41</v>
      </c>
      <c r="H337" s="9">
        <f t="shared" ca="1" si="4"/>
        <v>-0.788461538461532</v>
      </c>
      <c r="I337" s="10">
        <f t="shared" ca="1" si="5"/>
        <v>-7.8846153846153193</v>
      </c>
      <c r="J337" s="10" t="str">
        <f t="shared" si="6"/>
        <v>Call Spread</v>
      </c>
      <c r="K337" s="10" t="str">
        <f t="shared" ca="1" si="7"/>
        <v>Success</v>
      </c>
    </row>
    <row r="338" spans="1:11" ht="16">
      <c r="A338" s="1" t="s">
        <v>357</v>
      </c>
      <c r="B338" s="7" t="s">
        <v>14</v>
      </c>
      <c r="C338" s="8">
        <v>36.950000000000003</v>
      </c>
      <c r="D338" s="8" t="s">
        <v>15</v>
      </c>
      <c r="E338" s="8">
        <v>31.45</v>
      </c>
      <c r="F338" s="8">
        <f ca="1">IFERROR(__xludf.DUMMYFUNCTION("INDEX(GOOGLEFINANCE(A338, ""open"", DATE(2025,2,3), DATE(2025,2,3)), 2, 2)"),34.15)</f>
        <v>34.15</v>
      </c>
      <c r="G338" s="8">
        <f ca="1">IFERROR(__xludf.DUMMYFUNCTION("INDEX(GOOGLEFINANCE(A338, ""close"", DATE(2025,2,7), DATE(2025,2,7)), 2, 2)"),33.99)</f>
        <v>33.99</v>
      </c>
      <c r="H338" s="9">
        <f t="shared" ca="1" si="4"/>
        <v>-0.46852122986821843</v>
      </c>
      <c r="I338" s="10">
        <f t="shared" ca="1" si="5"/>
        <v>-4.6852122986821847</v>
      </c>
      <c r="J338" s="10" t="str">
        <f t="shared" si="6"/>
        <v>Put Spread</v>
      </c>
      <c r="K338" s="10" t="str">
        <f t="shared" ca="1" si="7"/>
        <v>Success</v>
      </c>
    </row>
    <row r="339" spans="1:11" ht="16">
      <c r="A339" s="1" t="s">
        <v>358</v>
      </c>
      <c r="B339" s="7" t="s">
        <v>14</v>
      </c>
      <c r="C339" s="8">
        <v>426.59</v>
      </c>
      <c r="D339" s="8" t="s">
        <v>15</v>
      </c>
      <c r="E339" s="8">
        <v>397.37</v>
      </c>
      <c r="F339" s="8">
        <f ca="1">IFERROR(__xludf.DUMMYFUNCTION("INDEX(GOOGLEFINANCE(A339, ""open"", DATE(2025,2,3), DATE(2025,2,3)), 2, 2)"),406.12)</f>
        <v>406.12</v>
      </c>
      <c r="G339" s="8">
        <f ca="1">IFERROR(__xludf.DUMMYFUNCTION("INDEX(GOOGLEFINANCE(A339, ""close"", DATE(2025,2,7), DATE(2025,2,7)), 2, 2)"),407.37)</f>
        <v>407.37</v>
      </c>
      <c r="H339" s="9">
        <f t="shared" ca="1" si="4"/>
        <v>0.3077908007485472</v>
      </c>
      <c r="I339" s="10">
        <f t="shared" ca="1" si="5"/>
        <v>3.0779080074854721</v>
      </c>
      <c r="J339" s="10" t="str">
        <f t="shared" si="6"/>
        <v>Put Spread</v>
      </c>
      <c r="K339" s="10" t="str">
        <f t="shared" ca="1" si="7"/>
        <v>Success</v>
      </c>
    </row>
    <row r="340" spans="1:11" ht="16">
      <c r="A340" s="1" t="s">
        <v>359</v>
      </c>
      <c r="B340" s="7" t="s">
        <v>38</v>
      </c>
      <c r="C340" s="8">
        <v>14.72</v>
      </c>
      <c r="D340" s="8" t="s">
        <v>39</v>
      </c>
      <c r="E340" s="8">
        <v>16.920000000000002</v>
      </c>
      <c r="F340" s="8">
        <f ca="1">IFERROR(__xludf.DUMMYFUNCTION("INDEX(GOOGLEFINANCE(A340, ""open"", DATE(2025,2,3), DATE(2025,2,3)), 2, 2)"),16.19)</f>
        <v>16.190000000000001</v>
      </c>
      <c r="G340" s="8">
        <f ca="1">IFERROR(__xludf.DUMMYFUNCTION("INDEX(GOOGLEFINANCE(A340, ""close"", DATE(2025,2,7), DATE(2025,2,7)), 2, 2)"),16.21)</f>
        <v>16.21</v>
      </c>
      <c r="H340" s="9">
        <f t="shared" ca="1" si="4"/>
        <v>-0.12353304508955883</v>
      </c>
      <c r="I340" s="10">
        <f t="shared" ca="1" si="5"/>
        <v>-1.2353304508955882</v>
      </c>
      <c r="J340" s="10" t="str">
        <f t="shared" si="6"/>
        <v>Call Spread</v>
      </c>
      <c r="K340" s="10" t="str">
        <f t="shared" ca="1" si="7"/>
        <v>Success</v>
      </c>
    </row>
    <row r="341" spans="1:11" ht="16">
      <c r="A341" s="1" t="s">
        <v>360</v>
      </c>
      <c r="B341" s="7" t="s">
        <v>14</v>
      </c>
      <c r="C341" s="8">
        <v>10.75</v>
      </c>
      <c r="D341" s="8" t="s">
        <v>15</v>
      </c>
      <c r="E341" s="8">
        <v>7.53</v>
      </c>
      <c r="F341" s="8">
        <f ca="1">IFERROR(__xludf.DUMMYFUNCTION("INDEX(GOOGLEFINANCE(A341, ""open"", DATE(2025,2,3), DATE(2025,2,3)), 2, 2)"),9.05)</f>
        <v>9.0500000000000007</v>
      </c>
      <c r="G341" s="8">
        <f ca="1">IFERROR(__xludf.DUMMYFUNCTION("INDEX(GOOGLEFINANCE(A341, ""close"", DATE(2025,2,7), DATE(2025,2,7)), 2, 2)"),9.34)</f>
        <v>9.34</v>
      </c>
      <c r="H341" s="9">
        <f t="shared" ca="1" si="4"/>
        <v>3.2044198895027529</v>
      </c>
      <c r="I341" s="10">
        <f t="shared" ca="1" si="5"/>
        <v>32.044198895027527</v>
      </c>
      <c r="J341" s="10" t="str">
        <f t="shared" si="6"/>
        <v>Put Spread</v>
      </c>
      <c r="K341" s="10" t="str">
        <f t="shared" ca="1" si="7"/>
        <v>Success</v>
      </c>
    </row>
    <row r="342" spans="1:11" ht="16">
      <c r="A342" s="1" t="s">
        <v>361</v>
      </c>
      <c r="B342" s="7" t="s">
        <v>14</v>
      </c>
      <c r="C342" s="8">
        <v>39.549999999999997</v>
      </c>
      <c r="D342" s="8" t="s">
        <v>15</v>
      </c>
      <c r="E342" s="8">
        <v>37.31</v>
      </c>
      <c r="F342" s="8">
        <f ca="1">IFERROR(__xludf.DUMMYFUNCTION("INDEX(GOOGLEFINANCE(A342, ""open"", DATE(2025,2,3), DATE(2025,2,3)), 2, 2)"),37.94)</f>
        <v>37.94</v>
      </c>
      <c r="G342" s="8">
        <f ca="1">IFERROR(__xludf.DUMMYFUNCTION("INDEX(GOOGLEFINANCE(A342, ""close"", DATE(2025,2,7), DATE(2025,2,7)), 2, 2)"),38.78)</f>
        <v>38.78</v>
      </c>
      <c r="H342" s="9">
        <f t="shared" ca="1" si="4"/>
        <v>2.2140221402214113</v>
      </c>
      <c r="I342" s="10">
        <f t="shared" ca="1" si="5"/>
        <v>22.140221402214117</v>
      </c>
      <c r="J342" s="10" t="str">
        <f t="shared" si="6"/>
        <v>Put Spread</v>
      </c>
      <c r="K342" s="10" t="str">
        <f t="shared" ca="1" si="7"/>
        <v>Success</v>
      </c>
    </row>
    <row r="343" spans="1:11" ht="16">
      <c r="A343" s="1" t="s">
        <v>362</v>
      </c>
      <c r="B343" s="7" t="s">
        <v>14</v>
      </c>
      <c r="C343" s="8">
        <v>42.64</v>
      </c>
      <c r="D343" s="8" t="s">
        <v>15</v>
      </c>
      <c r="E343" s="8">
        <v>31.92</v>
      </c>
      <c r="F343" s="8">
        <f ca="1">IFERROR(__xludf.DUMMYFUNCTION("INDEX(GOOGLEFINANCE(A343, ""open"", DATE(2025,2,3), DATE(2025,2,3)), 2, 2)"),35.01)</f>
        <v>35.01</v>
      </c>
      <c r="G343" s="8">
        <f ca="1">IFERROR(__xludf.DUMMYFUNCTION("INDEX(GOOGLEFINANCE(A343, ""close"", DATE(2025,2,7), DATE(2025,2,7)), 2, 2)"),42.55)</f>
        <v>42.55</v>
      </c>
      <c r="H343" s="9">
        <f t="shared" ca="1" si="4"/>
        <v>21.536703798914594</v>
      </c>
      <c r="I343" s="10">
        <f t="shared" ca="1" si="5"/>
        <v>215.36703798914593</v>
      </c>
      <c r="J343" s="10" t="str">
        <f t="shared" si="6"/>
        <v>Put Spread</v>
      </c>
      <c r="K343" s="10" t="str">
        <f t="shared" ca="1" si="7"/>
        <v>Success</v>
      </c>
    </row>
    <row r="344" spans="1:11" ht="16">
      <c r="A344" s="1" t="s">
        <v>363</v>
      </c>
      <c r="B344" s="7" t="s">
        <v>14</v>
      </c>
      <c r="C344" s="8">
        <v>6.24</v>
      </c>
      <c r="D344" s="8" t="s">
        <v>15</v>
      </c>
      <c r="E344" s="8">
        <v>5.12</v>
      </c>
      <c r="F344" s="8">
        <f ca="1">IFERROR(__xludf.DUMMYFUNCTION("INDEX(GOOGLEFINANCE(A344, ""open"", DATE(2025,2,3), DATE(2025,2,3)), 2, 2)"),5.64)</f>
        <v>5.64</v>
      </c>
      <c r="G344" s="8">
        <f ca="1">IFERROR(__xludf.DUMMYFUNCTION("INDEX(GOOGLEFINANCE(A344, ""close"", DATE(2025,2,7), DATE(2025,2,7)), 2, 2)"),5.88)</f>
        <v>5.88</v>
      </c>
      <c r="H344" s="9">
        <f t="shared" ca="1" si="4"/>
        <v>4.2553191489361746</v>
      </c>
      <c r="I344" s="10">
        <f t="shared" ca="1" si="5"/>
        <v>42.553191489361744</v>
      </c>
      <c r="J344" s="10" t="str">
        <f t="shared" si="6"/>
        <v>Put Spread</v>
      </c>
      <c r="K344" s="10" t="str">
        <f t="shared" ca="1" si="7"/>
        <v>Success</v>
      </c>
    </row>
    <row r="345" spans="1:11" ht="16">
      <c r="A345" s="1" t="s">
        <v>364</v>
      </c>
      <c r="B345" s="7" t="s">
        <v>14</v>
      </c>
      <c r="C345" s="8">
        <v>264.44</v>
      </c>
      <c r="D345" s="8" t="s">
        <v>15</v>
      </c>
      <c r="E345" s="8">
        <v>247.7</v>
      </c>
      <c r="F345" s="8">
        <f ca="1">IFERROR(__xludf.DUMMYFUNCTION("INDEX(GOOGLEFINANCE(A345, ""open"", DATE(2025,2,3), DATE(2025,2,3)), 2, 2)"),251.95)</f>
        <v>251.95</v>
      </c>
      <c r="G345" s="8">
        <f ca="1">IFERROR(__xludf.DUMMYFUNCTION("INDEX(GOOGLEFINANCE(A345, ""close"", DATE(2025,2,7), DATE(2025,2,7)), 2, 2)"),269.69)</f>
        <v>269.69</v>
      </c>
      <c r="H345" s="9">
        <f t="shared" ca="1" si="4"/>
        <v>7.0410795792816074</v>
      </c>
      <c r="I345" s="10">
        <f t="shared" ca="1" si="5"/>
        <v>70.410795792816074</v>
      </c>
      <c r="J345" s="10" t="str">
        <f t="shared" si="6"/>
        <v>Put Spread</v>
      </c>
      <c r="K345" s="10" t="str">
        <f t="shared" ca="1" si="7"/>
        <v>Success</v>
      </c>
    </row>
    <row r="346" spans="1:11" ht="16">
      <c r="A346" s="1" t="s">
        <v>365</v>
      </c>
      <c r="B346" s="7" t="s">
        <v>14</v>
      </c>
      <c r="C346" s="8">
        <v>232.3</v>
      </c>
      <c r="D346" s="8" t="s">
        <v>15</v>
      </c>
      <c r="E346" s="8">
        <v>215.14</v>
      </c>
      <c r="F346" s="8">
        <f ca="1">IFERROR(__xludf.DUMMYFUNCTION("INDEX(GOOGLEFINANCE(A346, ""open"", DATE(2025,2,3), DATE(2025,2,3)), 2, 2)"),222.5)</f>
        <v>222.5</v>
      </c>
      <c r="G346" s="8">
        <f ca="1">IFERROR(__xludf.DUMMYFUNCTION("INDEX(GOOGLEFINANCE(A346, ""close"", DATE(2025,2,7), DATE(2025,2,7)), 2, 2)"),205.52)</f>
        <v>205.52</v>
      </c>
      <c r="H346" s="9">
        <f t="shared" ca="1" si="4"/>
        <v>-7.6314606741572995</v>
      </c>
      <c r="I346" s="10">
        <f t="shared" ca="1" si="5"/>
        <v>-76.314606741573002</v>
      </c>
      <c r="J346" s="10" t="str">
        <f t="shared" si="6"/>
        <v>Put Spread</v>
      </c>
      <c r="K346" s="10" t="str">
        <f t="shared" ca="1" si="7"/>
        <v>No</v>
      </c>
    </row>
    <row r="347" spans="1:11" ht="16">
      <c r="A347" s="1" t="s">
        <v>366</v>
      </c>
      <c r="B347" s="7" t="s">
        <v>14</v>
      </c>
      <c r="C347" s="8">
        <v>57.26</v>
      </c>
      <c r="D347" s="8" t="s">
        <v>15</v>
      </c>
      <c r="E347" s="8">
        <v>46.64</v>
      </c>
      <c r="F347" s="8">
        <f ca="1">IFERROR(__xludf.DUMMYFUNCTION("INDEX(GOOGLEFINANCE(A347, ""open"", DATE(2025,2,3), DATE(2025,2,3)), 2, 2)"),48.49)</f>
        <v>48.49</v>
      </c>
      <c r="G347" s="8">
        <f ca="1">IFERROR(__xludf.DUMMYFUNCTION("INDEX(GOOGLEFINANCE(A347, ""close"", DATE(2025,2,7), DATE(2025,2,7)), 2, 2)"),55.86)</f>
        <v>55.86</v>
      </c>
      <c r="H347" s="9">
        <f t="shared" ca="1" si="4"/>
        <v>15.199010105176319</v>
      </c>
      <c r="I347" s="10">
        <f t="shared" ca="1" si="5"/>
        <v>151.99010105176319</v>
      </c>
      <c r="J347" s="10" t="str">
        <f t="shared" si="6"/>
        <v>Put Spread</v>
      </c>
      <c r="K347" s="10" t="str">
        <f t="shared" ca="1" si="7"/>
        <v>Success</v>
      </c>
    </row>
    <row r="348" spans="1:11" ht="16">
      <c r="A348" s="1" t="s">
        <v>367</v>
      </c>
      <c r="B348" s="7" t="s">
        <v>14</v>
      </c>
      <c r="C348" s="8">
        <v>22.68</v>
      </c>
      <c r="D348" s="8" t="s">
        <v>15</v>
      </c>
      <c r="E348" s="8">
        <v>19.7</v>
      </c>
      <c r="F348" s="8">
        <f ca="1">IFERROR(__xludf.DUMMYFUNCTION("INDEX(GOOGLEFINANCE(A348, ""open"", DATE(2025,2,3), DATE(2025,2,3)), 2, 2)"),20.62)</f>
        <v>20.62</v>
      </c>
      <c r="G348" s="8">
        <f ca="1">IFERROR(__xludf.DUMMYFUNCTION("INDEX(GOOGLEFINANCE(A348, ""close"", DATE(2025,2,7), DATE(2025,2,7)), 2, 2)"),21.27)</f>
        <v>21.27</v>
      </c>
      <c r="H348" s="9">
        <f t="shared" ca="1" si="4"/>
        <v>3.1522793404461615</v>
      </c>
      <c r="I348" s="10">
        <f t="shared" ca="1" si="5"/>
        <v>31.522793404461613</v>
      </c>
      <c r="J348" s="10" t="str">
        <f t="shared" si="6"/>
        <v>Put Spread</v>
      </c>
      <c r="K348" s="10" t="str">
        <f t="shared" ca="1" si="7"/>
        <v>Success</v>
      </c>
    </row>
    <row r="349" spans="1:11" ht="16">
      <c r="A349" s="1" t="s">
        <v>368</v>
      </c>
      <c r="B349" s="7" t="s">
        <v>14</v>
      </c>
      <c r="C349" s="8">
        <v>34.119999999999997</v>
      </c>
      <c r="D349" s="8" t="s">
        <v>15</v>
      </c>
      <c r="E349" s="8">
        <v>30.88</v>
      </c>
      <c r="F349" s="8">
        <f ca="1">IFERROR(__xludf.DUMMYFUNCTION("INDEX(GOOGLEFINANCE(A349, ""open"", DATE(2025,2,3), DATE(2025,2,3)), 2, 2)"),31.71)</f>
        <v>31.71</v>
      </c>
      <c r="G349" s="8">
        <f ca="1">IFERROR(__xludf.DUMMYFUNCTION("INDEX(GOOGLEFINANCE(A349, ""close"", DATE(2025,2,7), DATE(2025,2,7)), 2, 2)"),32.27)</f>
        <v>32.270000000000003</v>
      </c>
      <c r="H349" s="9">
        <f t="shared" ca="1" si="4"/>
        <v>1.7660044150110448</v>
      </c>
      <c r="I349" s="10">
        <f t="shared" ca="1" si="5"/>
        <v>17.660044150110448</v>
      </c>
      <c r="J349" s="10" t="str">
        <f t="shared" si="6"/>
        <v>Put Spread</v>
      </c>
      <c r="K349" s="10" t="str">
        <f t="shared" ca="1" si="7"/>
        <v>Success</v>
      </c>
    </row>
    <row r="350" spans="1:11" ht="16">
      <c r="A350" s="1" t="s">
        <v>369</v>
      </c>
      <c r="B350" s="7" t="s">
        <v>38</v>
      </c>
      <c r="C350" s="8">
        <v>52.49</v>
      </c>
      <c r="D350" s="8" t="s">
        <v>39</v>
      </c>
      <c r="E350" s="8">
        <v>58.13</v>
      </c>
      <c r="F350" s="8">
        <f ca="1">IFERROR(__xludf.DUMMYFUNCTION("INDEX(GOOGLEFINANCE(A350, ""open"", DATE(2025,2,3), DATE(2025,2,3)), 2, 2)"),54.49)</f>
        <v>54.49</v>
      </c>
      <c r="G350" s="8">
        <f ca="1">IFERROR(__xludf.DUMMYFUNCTION("INDEX(GOOGLEFINANCE(A350, ""close"", DATE(2025,2,7), DATE(2025,2,7)), 2, 2)"),53.22)</f>
        <v>53.22</v>
      </c>
      <c r="H350" s="9">
        <f t="shared" ca="1" si="4"/>
        <v>2.3307028812626229</v>
      </c>
      <c r="I350" s="10">
        <f t="shared" ca="1" si="5"/>
        <v>23.307028812626232</v>
      </c>
      <c r="J350" s="10" t="str">
        <f t="shared" si="6"/>
        <v>Call Spread</v>
      </c>
      <c r="K350" s="10" t="str">
        <f t="shared" ca="1" si="7"/>
        <v>Success</v>
      </c>
    </row>
    <row r="351" spans="1:11" ht="16">
      <c r="A351" s="1" t="s">
        <v>370</v>
      </c>
      <c r="B351" s="7" t="s">
        <v>14</v>
      </c>
      <c r="C351" s="8">
        <v>31.71</v>
      </c>
      <c r="D351" s="8" t="s">
        <v>15</v>
      </c>
      <c r="E351" s="8">
        <v>28.25</v>
      </c>
      <c r="F351" s="8">
        <f ca="1">IFERROR(__xludf.DUMMYFUNCTION("INDEX(GOOGLEFINANCE(A351, ""open"", DATE(2025,2,3), DATE(2025,2,3)), 2, 2)"),29.77)</f>
        <v>29.77</v>
      </c>
      <c r="G351" s="8">
        <f ca="1">IFERROR(__xludf.DUMMYFUNCTION("INDEX(GOOGLEFINANCE(A351, ""close"", DATE(2025,2,7), DATE(2025,2,7)), 2, 2)"),29.2)</f>
        <v>29.2</v>
      </c>
      <c r="H351" s="9">
        <f t="shared" ca="1" si="4"/>
        <v>-1.9146792072556276</v>
      </c>
      <c r="I351" s="10">
        <f t="shared" ca="1" si="5"/>
        <v>-19.146792072556273</v>
      </c>
      <c r="J351" s="10" t="str">
        <f t="shared" si="6"/>
        <v>Put Spread</v>
      </c>
      <c r="K351" s="10" t="str">
        <f t="shared" ca="1" si="7"/>
        <v>Success</v>
      </c>
    </row>
    <row r="352" spans="1:11" ht="16">
      <c r="A352" s="1" t="s">
        <v>371</v>
      </c>
      <c r="B352" s="7" t="s">
        <v>14</v>
      </c>
      <c r="C352" s="8">
        <v>54.71</v>
      </c>
      <c r="D352" s="8" t="s">
        <v>15</v>
      </c>
      <c r="E352" s="8">
        <v>50.15</v>
      </c>
      <c r="F352" s="8">
        <f ca="1">IFERROR(__xludf.DUMMYFUNCTION("INDEX(GOOGLEFINANCE(A352, ""open"", DATE(2025,2,3), DATE(2025,2,3)), 2, 2)"),50.99)</f>
        <v>50.99</v>
      </c>
      <c r="G352" s="8">
        <f ca="1">IFERROR(__xludf.DUMMYFUNCTION("INDEX(GOOGLEFINANCE(A352, ""close"", DATE(2025,2,7), DATE(2025,2,7)), 2, 2)"),53.1)</f>
        <v>53.1</v>
      </c>
      <c r="H352" s="9">
        <f t="shared" ca="1" si="4"/>
        <v>4.1380662875073533</v>
      </c>
      <c r="I352" s="10">
        <f t="shared" ca="1" si="5"/>
        <v>41.380662875073533</v>
      </c>
      <c r="J352" s="10" t="str">
        <f t="shared" si="6"/>
        <v>Put Spread</v>
      </c>
      <c r="K352" s="10" t="str">
        <f t="shared" ca="1" si="7"/>
        <v>Success</v>
      </c>
    </row>
    <row r="353" spans="1:11" ht="16">
      <c r="A353" s="1" t="s">
        <v>372</v>
      </c>
      <c r="B353" s="7" t="s">
        <v>38</v>
      </c>
      <c r="C353" s="8">
        <v>142.22</v>
      </c>
      <c r="D353" s="8" t="s">
        <v>39</v>
      </c>
      <c r="E353" s="8">
        <v>156.28</v>
      </c>
      <c r="F353" s="8">
        <f ca="1">IFERROR(__xludf.DUMMYFUNCTION("INDEX(GOOGLEFINANCE(A353, ""open"", DATE(2025,2,3), DATE(2025,2,3)), 2, 2)"),148)</f>
        <v>148</v>
      </c>
      <c r="G353" s="8">
        <f ca="1">IFERROR(__xludf.DUMMYFUNCTION("INDEX(GOOGLEFINANCE(A353, ""close"", DATE(2025,2,7), DATE(2025,2,7)), 2, 2)"),154.93)</f>
        <v>154.93</v>
      </c>
      <c r="H353" s="9">
        <f t="shared" ca="1" si="4"/>
        <v>-4.6824324324324369</v>
      </c>
      <c r="I353" s="10">
        <f t="shared" ca="1" si="5"/>
        <v>-46.824324324324373</v>
      </c>
      <c r="J353" s="10" t="str">
        <f t="shared" si="6"/>
        <v>Call Spread</v>
      </c>
      <c r="K353" s="10" t="str">
        <f t="shared" ca="1" si="7"/>
        <v>Success</v>
      </c>
    </row>
    <row r="354" spans="1:11" ht="16">
      <c r="A354" s="1" t="s">
        <v>373</v>
      </c>
      <c r="B354" s="7" t="s">
        <v>38</v>
      </c>
      <c r="C354" s="8">
        <v>3.57</v>
      </c>
      <c r="D354" s="8" t="s">
        <v>39</v>
      </c>
      <c r="E354" s="8">
        <v>4.6900000000000004</v>
      </c>
      <c r="F354" s="8">
        <f ca="1">IFERROR(__xludf.DUMMYFUNCTION("INDEX(GOOGLEFINANCE(A354, ""open"", DATE(2025,2,3), DATE(2025,2,3)), 2, 2)"),3.9)</f>
        <v>3.9</v>
      </c>
      <c r="G354" s="8">
        <f ca="1">IFERROR(__xludf.DUMMYFUNCTION("INDEX(GOOGLEFINANCE(A354, ""close"", DATE(2025,2,7), DATE(2025,2,7)), 2, 2)"),4.3)</f>
        <v>4.3</v>
      </c>
      <c r="H354" s="9">
        <f t="shared" ca="1" si="4"/>
        <v>-10.256410256410255</v>
      </c>
      <c r="I354" s="10">
        <f t="shared" ca="1" si="5"/>
        <v>-102.56410256410255</v>
      </c>
      <c r="J354" s="10" t="str">
        <f t="shared" si="6"/>
        <v>Call Spread</v>
      </c>
      <c r="K354" s="10" t="str">
        <f t="shared" ca="1" si="7"/>
        <v>Success</v>
      </c>
    </row>
    <row r="355" spans="1:11" ht="16">
      <c r="A355" s="1" t="s">
        <v>374</v>
      </c>
      <c r="B355" s="7" t="s">
        <v>38</v>
      </c>
      <c r="C355" s="8">
        <v>732.54</v>
      </c>
      <c r="D355" s="8" t="s">
        <v>39</v>
      </c>
      <c r="E355" s="8">
        <v>826.52</v>
      </c>
      <c r="F355" s="8">
        <f ca="1">IFERROR(__xludf.DUMMYFUNCTION("INDEX(GOOGLEFINANCE(A355, ""open"", DATE(2025,2,3), DATE(2025,2,3)), 2, 2)"),766.4)</f>
        <v>766.4</v>
      </c>
      <c r="G355" s="8">
        <f ca="1">IFERROR(__xludf.DUMMYFUNCTION("INDEX(GOOGLEFINANCE(A355, ""close"", DATE(2025,2,7), DATE(2025,2,7)), 2, 2)"),771.17)</f>
        <v>771.17</v>
      </c>
      <c r="H355" s="9">
        <f t="shared" ca="1" si="4"/>
        <v>-0.6223903966597053</v>
      </c>
      <c r="I355" s="10">
        <f t="shared" ca="1" si="5"/>
        <v>-6.223903966597053</v>
      </c>
      <c r="J355" s="10" t="str">
        <f t="shared" si="6"/>
        <v>Call Spread</v>
      </c>
      <c r="K355" s="10" t="str">
        <f t="shared" ca="1" si="7"/>
        <v>Success</v>
      </c>
    </row>
    <row r="356" spans="1:11" ht="16">
      <c r="A356" s="1" t="s">
        <v>375</v>
      </c>
      <c r="B356" s="7" t="s">
        <v>14</v>
      </c>
      <c r="C356" s="8">
        <v>311.66000000000003</v>
      </c>
      <c r="D356" s="8" t="s">
        <v>15</v>
      </c>
      <c r="E356" s="8">
        <v>274.8</v>
      </c>
      <c r="F356" s="8">
        <f ca="1">IFERROR(__xludf.DUMMYFUNCTION("INDEX(GOOGLEFINANCE(A356, ""open"", DATE(2025,2,3), DATE(2025,2,3)), 2, 2)"),291.23)</f>
        <v>291.23</v>
      </c>
      <c r="G356" s="8">
        <f ca="1">IFERROR(__xludf.DUMMYFUNCTION("INDEX(GOOGLEFINANCE(A356, ""close"", DATE(2025,2,7), DATE(2025,2,7)), 2, 2)"),274.33)</f>
        <v>274.33</v>
      </c>
      <c r="H356" s="9">
        <f t="shared" ca="1" si="4"/>
        <v>-5.8029735947532988</v>
      </c>
      <c r="I356" s="10">
        <f t="shared" ca="1" si="5"/>
        <v>-58.029735947532991</v>
      </c>
      <c r="J356" s="10" t="str">
        <f t="shared" si="6"/>
        <v>Put Spread</v>
      </c>
      <c r="K356" s="10" t="str">
        <f t="shared" ca="1" si="7"/>
        <v>No</v>
      </c>
    </row>
    <row r="357" spans="1:11" ht="16">
      <c r="A357" s="1" t="s">
        <v>376</v>
      </c>
      <c r="B357" s="7" t="s">
        <v>14</v>
      </c>
      <c r="C357" s="8">
        <v>24.8</v>
      </c>
      <c r="D357" s="8" t="s">
        <v>15</v>
      </c>
      <c r="E357" s="8">
        <v>18.579999999999998</v>
      </c>
      <c r="F357" s="8">
        <f ca="1">IFERROR(__xludf.DUMMYFUNCTION("INDEX(GOOGLEFINANCE(A357, ""open"", DATE(2025,2,3), DATE(2025,2,3)), 2, 2)"),19.04)</f>
        <v>19.04</v>
      </c>
      <c r="G357" s="8">
        <f ca="1">IFERROR(__xludf.DUMMYFUNCTION("INDEX(GOOGLEFINANCE(A357, ""close"", DATE(2025,2,7), DATE(2025,2,7)), 2, 2)"),20.88)</f>
        <v>20.88</v>
      </c>
      <c r="H357" s="9">
        <f t="shared" ca="1" si="4"/>
        <v>9.6638655462184886</v>
      </c>
      <c r="I357" s="10">
        <f t="shared" ca="1" si="5"/>
        <v>96.638655462184886</v>
      </c>
      <c r="J357" s="10" t="str">
        <f t="shared" si="6"/>
        <v>Put Spread</v>
      </c>
      <c r="K357" s="10" t="str">
        <f t="shared" ca="1" si="7"/>
        <v>Success</v>
      </c>
    </row>
    <row r="358" spans="1:11" ht="16">
      <c r="A358" s="1" t="s">
        <v>377</v>
      </c>
      <c r="B358" s="7" t="s">
        <v>14</v>
      </c>
      <c r="C358" s="8">
        <v>3.87</v>
      </c>
      <c r="D358" s="8" t="s">
        <v>15</v>
      </c>
      <c r="E358" s="8">
        <v>3.13</v>
      </c>
      <c r="F358" s="8">
        <f ca="1">IFERROR(__xludf.DUMMYFUNCTION("INDEX(GOOGLEFINANCE(A358, ""open"", DATE(2025,2,3), DATE(2025,2,3)), 2, 2)"),3.42)</f>
        <v>3.42</v>
      </c>
      <c r="G358" s="8">
        <f ca="1">IFERROR(__xludf.DUMMYFUNCTION("INDEX(GOOGLEFINANCE(A358, ""close"", DATE(2025,2,7), DATE(2025,2,7)), 2, 2)"),3.74)</f>
        <v>3.74</v>
      </c>
      <c r="H358" s="9">
        <f t="shared" ca="1" si="4"/>
        <v>9.3567251461988388</v>
      </c>
      <c r="I358" s="10">
        <f t="shared" ca="1" si="5"/>
        <v>93.567251461988377</v>
      </c>
      <c r="J358" s="10" t="str">
        <f t="shared" si="6"/>
        <v>Put Spread</v>
      </c>
      <c r="K358" s="10" t="str">
        <f t="shared" ca="1" si="7"/>
        <v>Success</v>
      </c>
    </row>
    <row r="359" spans="1:11" ht="16">
      <c r="A359" s="1" t="s">
        <v>378</v>
      </c>
      <c r="B359" s="7" t="s">
        <v>38</v>
      </c>
      <c r="C359" s="8">
        <v>77.099999999999994</v>
      </c>
      <c r="D359" s="8" t="s">
        <v>39</v>
      </c>
      <c r="E359" s="8">
        <v>82.34</v>
      </c>
      <c r="F359" s="8">
        <f ca="1">IFERROR(__xludf.DUMMYFUNCTION("INDEX(GOOGLEFINANCE(A359, ""open"", DATE(2025,2,3), DATE(2025,2,3)), 2, 2)"),79.17)</f>
        <v>79.17</v>
      </c>
      <c r="G359" s="8">
        <f ca="1">IFERROR(__xludf.DUMMYFUNCTION("INDEX(GOOGLEFINANCE(A359, ""close"", DATE(2025,2,7), DATE(2025,2,7)), 2, 2)"),79.35)</f>
        <v>79.349999999999994</v>
      </c>
      <c r="H359" s="9">
        <f t="shared" ca="1" si="4"/>
        <v>-0.22735884804849388</v>
      </c>
      <c r="I359" s="10">
        <f t="shared" ca="1" si="5"/>
        <v>-2.2735884804849387</v>
      </c>
      <c r="J359" s="10" t="str">
        <f t="shared" si="6"/>
        <v>Call Spread</v>
      </c>
      <c r="K359" s="10" t="str">
        <f t="shared" ca="1" si="7"/>
        <v>Success</v>
      </c>
    </row>
    <row r="360" spans="1:11" ht="16">
      <c r="A360" s="1" t="s">
        <v>379</v>
      </c>
      <c r="B360" s="7" t="s">
        <v>14</v>
      </c>
      <c r="C360" s="8">
        <v>159.51</v>
      </c>
      <c r="D360" s="8" t="s">
        <v>15</v>
      </c>
      <c r="E360" s="8">
        <v>153.37</v>
      </c>
      <c r="F360" s="8">
        <f ca="1">IFERROR(__xludf.DUMMYFUNCTION("INDEX(GOOGLEFINANCE(A360, ""open"", DATE(2025,2,3), DATE(2025,2,3)), 2, 2)"),153.25)</f>
        <v>153.25</v>
      </c>
      <c r="G360" s="8">
        <f ca="1">IFERROR(__xludf.DUMMYFUNCTION("INDEX(GOOGLEFINANCE(A360, ""close"", DATE(2025,2,7), DATE(2025,2,7)), 2, 2)"),157.85)</f>
        <v>157.85</v>
      </c>
      <c r="H360" s="9">
        <f t="shared" ca="1" si="4"/>
        <v>3.0016313213703061</v>
      </c>
      <c r="I360" s="10">
        <f t="shared" ca="1" si="5"/>
        <v>30.016313213703061</v>
      </c>
      <c r="J360" s="10" t="str">
        <f t="shared" si="6"/>
        <v>Put Spread</v>
      </c>
      <c r="K360" s="10" t="str">
        <f t="shared" ca="1" si="7"/>
        <v>Success</v>
      </c>
    </row>
    <row r="361" spans="1:11" ht="16">
      <c r="A361" s="1" t="s">
        <v>380</v>
      </c>
      <c r="B361" s="7" t="s">
        <v>14</v>
      </c>
      <c r="C361" s="8">
        <v>53.99</v>
      </c>
      <c r="D361" s="8" t="s">
        <v>15</v>
      </c>
      <c r="E361" s="8">
        <v>51.75</v>
      </c>
      <c r="F361" s="8">
        <f ca="1">IFERROR(__xludf.DUMMYFUNCTION("INDEX(GOOGLEFINANCE(A361, ""open"", DATE(2025,2,3), DATE(2025,2,3)), 2, 2)"),53.13)</f>
        <v>53.13</v>
      </c>
      <c r="G361" s="8">
        <f ca="1">IFERROR(__xludf.DUMMYFUNCTION("INDEX(GOOGLEFINANCE(A361, ""close"", DATE(2025,2,7), DATE(2025,2,7)), 2, 2)"),53.97)</f>
        <v>53.97</v>
      </c>
      <c r="H361" s="9">
        <f t="shared" ca="1" si="4"/>
        <v>1.5810276679841826</v>
      </c>
      <c r="I361" s="10">
        <f t="shared" ca="1" si="5"/>
        <v>15.810276679841827</v>
      </c>
      <c r="J361" s="10" t="str">
        <f t="shared" si="6"/>
        <v>Put Spread</v>
      </c>
      <c r="K361" s="10" t="str">
        <f t="shared" ca="1" si="7"/>
        <v>Success</v>
      </c>
    </row>
    <row r="362" spans="1:11" ht="16">
      <c r="A362" s="1" t="s">
        <v>381</v>
      </c>
      <c r="B362" s="7" t="s">
        <v>38</v>
      </c>
      <c r="C362" s="8">
        <v>134.94</v>
      </c>
      <c r="D362" s="8" t="s">
        <v>39</v>
      </c>
      <c r="E362" s="8">
        <v>142.38</v>
      </c>
      <c r="F362" s="8">
        <f ca="1">IFERROR(__xludf.DUMMYFUNCTION("INDEX(GOOGLEFINANCE(A362, ""open"", DATE(2025,2,3), DATE(2025,2,3)), 2, 2)"),136.55)</f>
        <v>136.55000000000001</v>
      </c>
      <c r="G362" s="8">
        <f ca="1">IFERROR(__xludf.DUMMYFUNCTION("INDEX(GOOGLEFINANCE(A362, ""close"", DATE(2025,2,7), DATE(2025,2,7)), 2, 2)"),137.67)</f>
        <v>137.66999999999999</v>
      </c>
      <c r="H362" s="9">
        <f t="shared" ca="1" si="4"/>
        <v>-0.82021237641887668</v>
      </c>
      <c r="I362" s="10">
        <f t="shared" ca="1" si="5"/>
        <v>-8.2021237641887677</v>
      </c>
      <c r="J362" s="10" t="str">
        <f t="shared" si="6"/>
        <v>Call Spread</v>
      </c>
      <c r="K362" s="10" t="str">
        <f t="shared" ca="1" si="7"/>
        <v>Success</v>
      </c>
    </row>
    <row r="363" spans="1:11" ht="16">
      <c r="A363" s="1" t="s">
        <v>382</v>
      </c>
      <c r="B363" s="7" t="s">
        <v>14</v>
      </c>
      <c r="C363" s="8">
        <v>62.11</v>
      </c>
      <c r="D363" s="8" t="s">
        <v>15</v>
      </c>
      <c r="E363" s="8">
        <v>53.31</v>
      </c>
      <c r="F363" s="8">
        <f ca="1">IFERROR(__xludf.DUMMYFUNCTION("INDEX(GOOGLEFINANCE(A363, ""open"", DATE(2025,2,3), DATE(2025,2,3)), 2, 2)"),53.97)</f>
        <v>53.97</v>
      </c>
      <c r="G363" s="8">
        <f ca="1">IFERROR(__xludf.DUMMYFUNCTION("INDEX(GOOGLEFINANCE(A363, ""close"", DATE(2025,2,7), DATE(2025,2,7)), 2, 2)"),54.47)</f>
        <v>54.47</v>
      </c>
      <c r="H363" s="9">
        <f t="shared" ca="1" si="4"/>
        <v>0.9264406151565685</v>
      </c>
      <c r="I363" s="10">
        <f t="shared" ca="1" si="5"/>
        <v>9.2644061515656855</v>
      </c>
      <c r="J363" s="10" t="str">
        <f t="shared" si="6"/>
        <v>Put Spread</v>
      </c>
      <c r="K363" s="10" t="str">
        <f t="shared" ca="1" si="7"/>
        <v>Success</v>
      </c>
    </row>
    <row r="364" spans="1:11" ht="16">
      <c r="A364" s="1" t="s">
        <v>383</v>
      </c>
      <c r="B364" s="7" t="s">
        <v>14</v>
      </c>
      <c r="C364" s="8">
        <v>264.64</v>
      </c>
      <c r="D364" s="8" t="s">
        <v>15</v>
      </c>
      <c r="E364" s="8">
        <v>246.76</v>
      </c>
      <c r="F364" s="8">
        <f ca="1">IFERROR(__xludf.DUMMYFUNCTION("INDEX(GOOGLEFINANCE(A364, ""open"", DATE(2025,2,3), DATE(2025,2,3)), 2, 2)"),252.4)</f>
        <v>252.4</v>
      </c>
      <c r="G364" s="8">
        <f ca="1">IFERROR(__xludf.DUMMYFUNCTION("INDEX(GOOGLEFINANCE(A364, ""close"", DATE(2025,2,7), DATE(2025,2,7)), 2, 2)"),252.34)</f>
        <v>252.34</v>
      </c>
      <c r="H364" s="9">
        <f t="shared" ca="1" si="4"/>
        <v>-2.3771790808241787E-2</v>
      </c>
      <c r="I364" s="10">
        <f t="shared" ca="1" si="5"/>
        <v>-0.23771790808241786</v>
      </c>
      <c r="J364" s="10" t="str">
        <f t="shared" si="6"/>
        <v>Put Spread</v>
      </c>
      <c r="K364" s="10" t="str">
        <f t="shared" ca="1" si="7"/>
        <v>Success</v>
      </c>
    </row>
    <row r="365" spans="1:11" ht="16">
      <c r="A365" s="1" t="s">
        <v>384</v>
      </c>
      <c r="B365" s="7" t="s">
        <v>14</v>
      </c>
      <c r="C365" s="8">
        <v>4.03</v>
      </c>
      <c r="D365" s="8" t="s">
        <v>15</v>
      </c>
      <c r="E365" s="8">
        <v>2.87</v>
      </c>
      <c r="F365" s="8">
        <f ca="1">IFERROR(__xludf.DUMMYFUNCTION("INDEX(GOOGLEFINANCE(A365, ""open"", DATE(2025,2,3), DATE(2025,2,3)), 2, 2)"),3.26)</f>
        <v>3.26</v>
      </c>
      <c r="G365" s="8">
        <f ca="1">IFERROR(__xludf.DUMMYFUNCTION("INDEX(GOOGLEFINANCE(A365, ""close"", DATE(2025,2,7), DATE(2025,2,7)), 2, 2)"),3.36)</f>
        <v>3.36</v>
      </c>
      <c r="H365" s="9">
        <f t="shared" ca="1" si="4"/>
        <v>3.0674846625766898</v>
      </c>
      <c r="I365" s="10">
        <f t="shared" ca="1" si="5"/>
        <v>30.6748466257669</v>
      </c>
      <c r="J365" s="10" t="str">
        <f t="shared" si="6"/>
        <v>Put Spread</v>
      </c>
      <c r="K365" s="10" t="str">
        <f t="shared" ca="1" si="7"/>
        <v>Success</v>
      </c>
    </row>
    <row r="366" spans="1:11" ht="16">
      <c r="A366" s="1" t="s">
        <v>385</v>
      </c>
      <c r="B366" s="7" t="s">
        <v>14</v>
      </c>
      <c r="C366" s="8">
        <v>70.97</v>
      </c>
      <c r="D366" s="8" t="s">
        <v>15</v>
      </c>
      <c r="E366" s="8">
        <v>66.13</v>
      </c>
      <c r="F366" s="8">
        <f ca="1">IFERROR(__xludf.DUMMYFUNCTION("INDEX(GOOGLEFINANCE(A366, ""open"", DATE(2025,2,3), DATE(2025,2,3)), 2, 2)"),66.65)</f>
        <v>66.650000000000006</v>
      </c>
      <c r="G366" s="8">
        <f ca="1">IFERROR(__xludf.DUMMYFUNCTION("INDEX(GOOGLEFINANCE(A366, ""close"", DATE(2025,2,7), DATE(2025,2,7)), 2, 2)"),69.66)</f>
        <v>69.66</v>
      </c>
      <c r="H366" s="9">
        <f t="shared" ca="1" si="4"/>
        <v>4.5161290322580507</v>
      </c>
      <c r="I366" s="10">
        <f t="shared" ca="1" si="5"/>
        <v>45.161290322580506</v>
      </c>
      <c r="J366" s="10" t="str">
        <f t="shared" si="6"/>
        <v>Put Spread</v>
      </c>
      <c r="K366" s="10" t="str">
        <f t="shared" ca="1" si="7"/>
        <v>Success</v>
      </c>
    </row>
    <row r="367" spans="1:11" ht="16">
      <c r="A367" s="1" t="s">
        <v>386</v>
      </c>
      <c r="B367" s="7" t="s">
        <v>14</v>
      </c>
      <c r="C367" s="8">
        <v>12.72</v>
      </c>
      <c r="D367" s="8" t="s">
        <v>15</v>
      </c>
      <c r="E367" s="8">
        <v>10.02</v>
      </c>
      <c r="F367" s="8">
        <f ca="1">IFERROR(__xludf.DUMMYFUNCTION("INDEX(GOOGLEFINANCE(A367, ""open"", DATE(2025,2,3), DATE(2025,2,3)), 2, 2)"),11.08)</f>
        <v>11.08</v>
      </c>
      <c r="G367" s="8">
        <f ca="1">IFERROR(__xludf.DUMMYFUNCTION("INDEX(GOOGLEFINANCE(A367, ""close"", DATE(2025,2,7), DATE(2025,2,7)), 2, 2)"),11.25)</f>
        <v>11.25</v>
      </c>
      <c r="H367" s="9">
        <f t="shared" ca="1" si="4"/>
        <v>1.5342960288808658</v>
      </c>
      <c r="I367" s="10">
        <f t="shared" ca="1" si="5"/>
        <v>15.342960288808658</v>
      </c>
      <c r="J367" s="10" t="str">
        <f t="shared" si="6"/>
        <v>Put Spread</v>
      </c>
      <c r="K367" s="10" t="str">
        <f t="shared" ca="1" si="7"/>
        <v>Success</v>
      </c>
    </row>
    <row r="368" spans="1:11" ht="16">
      <c r="A368" s="1" t="s">
        <v>387</v>
      </c>
      <c r="B368" s="7" t="s">
        <v>14</v>
      </c>
      <c r="C368" s="8">
        <v>94.05</v>
      </c>
      <c r="D368" s="8" t="s">
        <v>15</v>
      </c>
      <c r="E368" s="8">
        <v>91.99</v>
      </c>
      <c r="F368" s="8">
        <f ca="1">IFERROR(__xludf.DUMMYFUNCTION("INDEX(GOOGLEFINANCE(A368, ""open"", DATE(2025,2,3), DATE(2025,2,3)), 2, 2)"),92.99)</f>
        <v>92.99</v>
      </c>
      <c r="G368" s="8">
        <f ca="1">IFERROR(__xludf.DUMMYFUNCTION("INDEX(GOOGLEFINANCE(A368, ""close"", DATE(2025,2,7), DATE(2025,2,7)), 2, 2)"),93.14)</f>
        <v>93.14</v>
      </c>
      <c r="H368" s="9">
        <f t="shared" ca="1" si="4"/>
        <v>0.1613076674911342</v>
      </c>
      <c r="I368" s="10">
        <f t="shared" ca="1" si="5"/>
        <v>1.6130766749113419</v>
      </c>
      <c r="J368" s="10" t="str">
        <f t="shared" si="6"/>
        <v>Put Spread</v>
      </c>
      <c r="K368" s="10" t="str">
        <f t="shared" ca="1" si="7"/>
        <v>Success</v>
      </c>
    </row>
    <row r="369" spans="1:11" ht="16">
      <c r="A369" s="1" t="s">
        <v>388</v>
      </c>
      <c r="B369" s="7" t="s">
        <v>14</v>
      </c>
      <c r="C369" s="8">
        <v>75.13</v>
      </c>
      <c r="D369" s="8" t="s">
        <v>15</v>
      </c>
      <c r="E369" s="8">
        <v>72.03</v>
      </c>
      <c r="F369" s="8">
        <f ca="1">IFERROR(__xludf.DUMMYFUNCTION("INDEX(GOOGLEFINANCE(A369, ""open"", DATE(2025,2,3), DATE(2025,2,3)), 2, 2)"),72.39)</f>
        <v>72.39</v>
      </c>
      <c r="G369" s="8">
        <f ca="1">IFERROR(__xludf.DUMMYFUNCTION("INDEX(GOOGLEFINANCE(A369, ""close"", DATE(2025,2,7), DATE(2025,2,7)), 2, 2)"),73.98)</f>
        <v>73.98</v>
      </c>
      <c r="H369" s="9">
        <f t="shared" ca="1" si="4"/>
        <v>2.1964359718193167</v>
      </c>
      <c r="I369" s="10">
        <f t="shared" ca="1" si="5"/>
        <v>21.964359718193169</v>
      </c>
      <c r="J369" s="10" t="str">
        <f t="shared" si="6"/>
        <v>Put Spread</v>
      </c>
      <c r="K369" s="10" t="str">
        <f t="shared" ca="1" si="7"/>
        <v>Success</v>
      </c>
    </row>
    <row r="370" spans="1:11" ht="16">
      <c r="A370" s="1" t="s">
        <v>389</v>
      </c>
      <c r="B370" s="7" t="s">
        <v>14</v>
      </c>
      <c r="C370" s="8">
        <v>54.28</v>
      </c>
      <c r="D370" s="8" t="s">
        <v>15</v>
      </c>
      <c r="E370" s="8">
        <v>51.7</v>
      </c>
      <c r="F370" s="8">
        <f ca="1">IFERROR(__xludf.DUMMYFUNCTION("INDEX(GOOGLEFINANCE(A370, ""open"", DATE(2025,2,3), DATE(2025,2,3)), 2, 2)"),52.17)</f>
        <v>52.17</v>
      </c>
      <c r="G370" s="8">
        <f ca="1">IFERROR(__xludf.DUMMYFUNCTION("INDEX(GOOGLEFINANCE(A370, ""close"", DATE(2025,2,7), DATE(2025,2,7)), 2, 2)"),53.64)</f>
        <v>53.64</v>
      </c>
      <c r="H370" s="9">
        <f t="shared" ca="1" si="4"/>
        <v>2.817711328349624</v>
      </c>
      <c r="I370" s="10">
        <f t="shared" ca="1" si="5"/>
        <v>28.17711328349624</v>
      </c>
      <c r="J370" s="10" t="str">
        <f t="shared" si="6"/>
        <v>Put Spread</v>
      </c>
      <c r="K370" s="10" t="str">
        <f t="shared" ca="1" si="7"/>
        <v>Success</v>
      </c>
    </row>
    <row r="371" spans="1:11" ht="16">
      <c r="A371" s="1" t="s">
        <v>390</v>
      </c>
      <c r="B371" s="7" t="s">
        <v>14</v>
      </c>
      <c r="C371" s="8">
        <v>11.28</v>
      </c>
      <c r="D371" s="8" t="s">
        <v>15</v>
      </c>
      <c r="E371" s="8">
        <v>8.1999999999999993</v>
      </c>
      <c r="F371" s="8">
        <f ca="1">IFERROR(__xludf.DUMMYFUNCTION("INDEX(GOOGLEFINANCE(A371, ""open"", DATE(2025,2,3), DATE(2025,2,3)), 2, 2)"),9.46)</f>
        <v>9.4600000000000009</v>
      </c>
      <c r="G371" s="8">
        <f ca="1">IFERROR(__xludf.DUMMYFUNCTION("INDEX(GOOGLEFINANCE(A371, ""close"", DATE(2025,2,7), DATE(2025,2,7)), 2, 2)"),9.7)</f>
        <v>9.6999999999999993</v>
      </c>
      <c r="H371" s="9">
        <f t="shared" ca="1" si="4"/>
        <v>2.5369978858350786</v>
      </c>
      <c r="I371" s="10">
        <f t="shared" ca="1" si="5"/>
        <v>25.369978858350787</v>
      </c>
      <c r="J371" s="10" t="str">
        <f t="shared" si="6"/>
        <v>Put Spread</v>
      </c>
      <c r="K371" s="10" t="str">
        <f t="shared" ca="1" si="7"/>
        <v>Success</v>
      </c>
    </row>
    <row r="372" spans="1:11" ht="16">
      <c r="A372" s="1" t="s">
        <v>391</v>
      </c>
      <c r="B372" s="7" t="s">
        <v>14</v>
      </c>
      <c r="C372" s="8">
        <v>55.07</v>
      </c>
      <c r="D372" s="8" t="s">
        <v>15</v>
      </c>
      <c r="E372" s="8">
        <v>50.53</v>
      </c>
      <c r="F372" s="8">
        <f ca="1">IFERROR(__xludf.DUMMYFUNCTION("INDEX(GOOGLEFINANCE(A372, ""open"", DATE(2025,2,3), DATE(2025,2,3)), 2, 2)"),52.31)</f>
        <v>52.31</v>
      </c>
      <c r="G372" s="8">
        <f ca="1">IFERROR(__xludf.DUMMYFUNCTION("INDEX(GOOGLEFINANCE(A372, ""close"", DATE(2025,2,7), DATE(2025,2,7)), 2, 2)"),51.67)</f>
        <v>51.67</v>
      </c>
      <c r="H372" s="9">
        <f t="shared" ca="1" si="4"/>
        <v>-1.2234754349072845</v>
      </c>
      <c r="I372" s="10">
        <f t="shared" ca="1" si="5"/>
        <v>-12.234754349072846</v>
      </c>
      <c r="J372" s="10" t="str">
        <f t="shared" si="6"/>
        <v>Put Spread</v>
      </c>
      <c r="K372" s="10" t="str">
        <f t="shared" ca="1" si="7"/>
        <v>Success</v>
      </c>
    </row>
    <row r="373" spans="1:11" ht="16">
      <c r="A373" s="1" t="s">
        <v>392</v>
      </c>
      <c r="B373" s="7" t="s">
        <v>14</v>
      </c>
      <c r="C373" s="8">
        <v>65.25</v>
      </c>
      <c r="D373" s="8" t="s">
        <v>15</v>
      </c>
      <c r="E373" s="8">
        <v>62.37</v>
      </c>
      <c r="F373" s="8">
        <f ca="1">IFERROR(__xludf.DUMMYFUNCTION("INDEX(GOOGLEFINANCE(A373, ""open"", DATE(2025,2,3), DATE(2025,2,3)), 2, 2)"),63.37)</f>
        <v>63.37</v>
      </c>
      <c r="G373" s="8">
        <f ca="1">IFERROR(__xludf.DUMMYFUNCTION("INDEX(GOOGLEFINANCE(A373, ""close"", DATE(2025,2,7), DATE(2025,2,7)), 2, 2)"),63.81)</f>
        <v>63.81</v>
      </c>
      <c r="H373" s="9">
        <f t="shared" ca="1" si="4"/>
        <v>0.69433485876598522</v>
      </c>
      <c r="I373" s="10">
        <f t="shared" ca="1" si="5"/>
        <v>6.9433485876598526</v>
      </c>
      <c r="J373" s="10" t="str">
        <f t="shared" si="6"/>
        <v>Put Spread</v>
      </c>
      <c r="K373" s="10" t="str">
        <f t="shared" ca="1" si="7"/>
        <v>Success</v>
      </c>
    </row>
    <row r="374" spans="1:11" ht="16">
      <c r="A374" s="1" t="s">
        <v>393</v>
      </c>
      <c r="B374" s="7" t="s">
        <v>14</v>
      </c>
      <c r="C374" s="8">
        <v>66.09</v>
      </c>
      <c r="D374" s="8" t="s">
        <v>15</v>
      </c>
      <c r="E374" s="8">
        <v>63.21</v>
      </c>
      <c r="F374" s="8">
        <f ca="1">IFERROR(__xludf.DUMMYFUNCTION("INDEX(GOOGLEFINANCE(A374, ""open"", DATE(2025,2,3), DATE(2025,2,3)), 2, 2)"),63.32)</f>
        <v>63.32</v>
      </c>
      <c r="G374" s="8">
        <f ca="1">IFERROR(__xludf.DUMMYFUNCTION("INDEX(GOOGLEFINANCE(A374, ""close"", DATE(2025,2,7), DATE(2025,2,7)), 2, 2)"),64.05)</f>
        <v>64.05</v>
      </c>
      <c r="H374" s="9">
        <f t="shared" ca="1" si="4"/>
        <v>1.1528742893240633</v>
      </c>
      <c r="I374" s="10">
        <f t="shared" ca="1" si="5"/>
        <v>11.528742893240633</v>
      </c>
      <c r="J374" s="10" t="str">
        <f t="shared" si="6"/>
        <v>Put Spread</v>
      </c>
      <c r="K374" s="10" t="str">
        <f t="shared" ca="1" si="7"/>
        <v>Success</v>
      </c>
    </row>
    <row r="375" spans="1:11" ht="16">
      <c r="A375" s="1" t="s">
        <v>394</v>
      </c>
      <c r="B375" s="7" t="s">
        <v>14</v>
      </c>
      <c r="C375" s="8">
        <v>121.56</v>
      </c>
      <c r="D375" s="8" t="s">
        <v>15</v>
      </c>
      <c r="E375" s="8">
        <v>115.32</v>
      </c>
      <c r="F375" s="8">
        <f ca="1">IFERROR(__xludf.DUMMYFUNCTION("INDEX(GOOGLEFINANCE(A375, ""open"", DATE(2025,2,3), DATE(2025,2,3)), 2, 2)"),115.97)</f>
        <v>115.97</v>
      </c>
      <c r="G375" s="8">
        <f ca="1">IFERROR(__xludf.DUMMYFUNCTION("INDEX(GOOGLEFINANCE(A375, ""close"", DATE(2025,2,7), DATE(2025,2,7)), 2, 2)"),117.15)</f>
        <v>117.15</v>
      </c>
      <c r="H375" s="9">
        <f t="shared" ca="1" si="4"/>
        <v>1.0175045270328591</v>
      </c>
      <c r="I375" s="10">
        <f t="shared" ca="1" si="5"/>
        <v>10.175045270328591</v>
      </c>
      <c r="J375" s="10" t="str">
        <f t="shared" si="6"/>
        <v>Put Spread</v>
      </c>
      <c r="K375" s="10" t="str">
        <f t="shared" ca="1" si="7"/>
        <v>Success</v>
      </c>
    </row>
    <row r="376" spans="1:11" ht="16">
      <c r="A376" s="1" t="s">
        <v>395</v>
      </c>
      <c r="B376" s="7" t="s">
        <v>14</v>
      </c>
      <c r="C376" s="8">
        <v>142</v>
      </c>
      <c r="D376" s="8" t="s">
        <v>15</v>
      </c>
      <c r="E376" s="8">
        <v>123.48</v>
      </c>
      <c r="F376" s="8">
        <f ca="1">IFERROR(__xludf.DUMMYFUNCTION("INDEX(GOOGLEFINANCE(A376, ""open"", DATE(2025,2,3), DATE(2025,2,3)), 2, 2)"),129.18)</f>
        <v>129.18</v>
      </c>
      <c r="G376" s="8">
        <f ca="1">IFERROR(__xludf.DUMMYFUNCTION("INDEX(GOOGLEFINANCE(A376, ""close"", DATE(2025,2,7), DATE(2025,2,7)), 2, 2)"),111.06)</f>
        <v>111.06</v>
      </c>
      <c r="H376" s="9">
        <f t="shared" ca="1" si="4"/>
        <v>-14.026939154667909</v>
      </c>
      <c r="I376" s="10">
        <f t="shared" ca="1" si="5"/>
        <v>-140.26939154667909</v>
      </c>
      <c r="J376" s="10" t="str">
        <f t="shared" si="6"/>
        <v>Put Spread</v>
      </c>
      <c r="K376" s="10" t="str">
        <f t="shared" ca="1" si="7"/>
        <v>No</v>
      </c>
    </row>
    <row r="377" spans="1:11" ht="16">
      <c r="A377" s="1" t="s">
        <v>396</v>
      </c>
      <c r="B377" s="7" t="s">
        <v>14</v>
      </c>
      <c r="C377" s="8">
        <v>52.23</v>
      </c>
      <c r="D377" s="8" t="s">
        <v>15</v>
      </c>
      <c r="E377" s="8">
        <v>49.75</v>
      </c>
      <c r="F377" s="8">
        <f ca="1">IFERROR(__xludf.DUMMYFUNCTION("INDEX(GOOGLEFINANCE(A377, ""open"", DATE(2025,2,3), DATE(2025,2,3)), 2, 2)"),50.51)</f>
        <v>50.51</v>
      </c>
      <c r="G377" s="8">
        <f ca="1">IFERROR(__xludf.DUMMYFUNCTION("INDEX(GOOGLEFINANCE(A377, ""close"", DATE(2025,2,7), DATE(2025,2,7)), 2, 2)"),50.5)</f>
        <v>50.5</v>
      </c>
      <c r="H377" s="9">
        <f t="shared" ca="1" si="4"/>
        <v>-1.9798059790136626E-2</v>
      </c>
      <c r="I377" s="10">
        <f t="shared" ca="1" si="5"/>
        <v>-0.19798059790136627</v>
      </c>
      <c r="J377" s="10" t="str">
        <f t="shared" si="6"/>
        <v>Put Spread</v>
      </c>
      <c r="K377" s="10" t="str">
        <f t="shared" ca="1" si="7"/>
        <v>Success</v>
      </c>
    </row>
    <row r="378" spans="1:11" ht="16">
      <c r="A378" s="1" t="s">
        <v>397</v>
      </c>
      <c r="B378" s="7" t="s">
        <v>14</v>
      </c>
      <c r="C378" s="8">
        <v>20.79</v>
      </c>
      <c r="D378" s="8" t="s">
        <v>15</v>
      </c>
      <c r="E378" s="8">
        <v>18.07</v>
      </c>
      <c r="F378" s="8">
        <f ca="1">IFERROR(__xludf.DUMMYFUNCTION("INDEX(GOOGLEFINANCE(A378, ""open"", DATE(2025,2,3), DATE(2025,2,3)), 2, 2)"),18.97)</f>
        <v>18.97</v>
      </c>
      <c r="G378" s="8">
        <f ca="1">IFERROR(__xludf.DUMMYFUNCTION("INDEX(GOOGLEFINANCE(A378, ""close"", DATE(2025,2,7), DATE(2025,2,7)), 2, 2)"),19.1)</f>
        <v>19.100000000000001</v>
      </c>
      <c r="H378" s="9">
        <f t="shared" ca="1" si="4"/>
        <v>0.68529256721139986</v>
      </c>
      <c r="I378" s="10">
        <f t="shared" ca="1" si="5"/>
        <v>6.8529256721139982</v>
      </c>
      <c r="J378" s="10" t="str">
        <f t="shared" si="6"/>
        <v>Put Spread</v>
      </c>
      <c r="K378" s="10" t="str">
        <f t="shared" ca="1" si="7"/>
        <v>Success</v>
      </c>
    </row>
    <row r="379" spans="1:11" ht="16">
      <c r="A379" s="1" t="s">
        <v>398</v>
      </c>
      <c r="B379" s="7" t="s">
        <v>38</v>
      </c>
      <c r="C379" s="8">
        <v>573.87</v>
      </c>
      <c r="D379" s="8" t="s">
        <v>39</v>
      </c>
      <c r="E379" s="8">
        <v>629.15</v>
      </c>
      <c r="F379" s="8">
        <f ca="1">IFERROR(__xludf.DUMMYFUNCTION("INDEX(GOOGLEFINANCE(A379, ""open"", DATE(2025,2,3), DATE(2025,2,3)), 2, 2)"),600.4)</f>
        <v>600.4</v>
      </c>
      <c r="G379" s="8">
        <f ca="1">IFERROR(__xludf.DUMMYFUNCTION("INDEX(GOOGLEFINANCE(A379, ""close"", DATE(2025,2,7), DATE(2025,2,7)), 2, 2)"),578.85)</f>
        <v>578.85</v>
      </c>
      <c r="H379" s="9">
        <f t="shared" ca="1" si="4"/>
        <v>3.5892738174550227</v>
      </c>
      <c r="I379" s="10">
        <f t="shared" ca="1" si="5"/>
        <v>35.892738174550225</v>
      </c>
      <c r="J379" s="10" t="str">
        <f t="shared" si="6"/>
        <v>Call Spread</v>
      </c>
      <c r="K379" s="10" t="str">
        <f t="shared" ca="1" si="7"/>
        <v>Success</v>
      </c>
    </row>
    <row r="380" spans="1:11" ht="16">
      <c r="A380" s="1" t="s">
        <v>399</v>
      </c>
      <c r="B380" s="7" t="s">
        <v>14</v>
      </c>
      <c r="C380" s="8">
        <v>46.35</v>
      </c>
      <c r="D380" s="8" t="s">
        <v>15</v>
      </c>
      <c r="E380" s="8">
        <v>32.630000000000003</v>
      </c>
      <c r="F380" s="8">
        <f ca="1">IFERROR(__xludf.DUMMYFUNCTION("INDEX(GOOGLEFINANCE(A380, ""open"", DATE(2025,2,3), DATE(2025,2,3)), 2, 2)"),37.4)</f>
        <v>37.4</v>
      </c>
      <c r="G380" s="8">
        <f ca="1">IFERROR(__xludf.DUMMYFUNCTION("INDEX(GOOGLEFINANCE(A380, ""close"", DATE(2025,2,7), DATE(2025,2,7)), 2, 2)"),40.57)</f>
        <v>40.57</v>
      </c>
      <c r="H380" s="9">
        <f t="shared" ca="1" si="4"/>
        <v>8.4759358288770095</v>
      </c>
      <c r="I380" s="10">
        <f t="shared" ca="1" si="5"/>
        <v>84.759358288770088</v>
      </c>
      <c r="J380" s="10" t="str">
        <f t="shared" si="6"/>
        <v>Put Spread</v>
      </c>
      <c r="K380" s="10" t="str">
        <f t="shared" ca="1" si="7"/>
        <v>Success</v>
      </c>
    </row>
    <row r="381" spans="1:11" ht="16">
      <c r="A381" s="1" t="s">
        <v>400</v>
      </c>
      <c r="B381" s="7" t="s">
        <v>14</v>
      </c>
      <c r="C381" s="8">
        <v>56.13</v>
      </c>
      <c r="D381" s="8" t="s">
        <v>15</v>
      </c>
      <c r="E381" s="8">
        <v>46.87</v>
      </c>
      <c r="F381" s="8">
        <f ca="1">IFERROR(__xludf.DUMMYFUNCTION("INDEX(GOOGLEFINANCE(A381, ""open"", DATE(2025,2,3), DATE(2025,2,3)), 2, 2)"),49.9)</f>
        <v>49.9</v>
      </c>
      <c r="G381" s="8">
        <f ca="1">IFERROR(__xludf.DUMMYFUNCTION("INDEX(GOOGLEFINANCE(A381, ""close"", DATE(2025,2,7), DATE(2025,2,7)), 2, 2)"),54.59)</f>
        <v>54.59</v>
      </c>
      <c r="H381" s="9">
        <f t="shared" ca="1" si="4"/>
        <v>9.3987975951903913</v>
      </c>
      <c r="I381" s="10">
        <f t="shared" ca="1" si="5"/>
        <v>93.98797595190392</v>
      </c>
      <c r="J381" s="10" t="str">
        <f t="shared" si="6"/>
        <v>Put Spread</v>
      </c>
      <c r="K381" s="10" t="str">
        <f t="shared" ca="1" si="7"/>
        <v>Success</v>
      </c>
    </row>
    <row r="382" spans="1:11" ht="16">
      <c r="A382" s="1" t="s">
        <v>401</v>
      </c>
      <c r="B382" s="7" t="s">
        <v>14</v>
      </c>
      <c r="C382" s="8">
        <v>6.07</v>
      </c>
      <c r="D382" s="8" t="s">
        <v>15</v>
      </c>
      <c r="E382" s="8">
        <v>5.63</v>
      </c>
      <c r="F382" s="8">
        <f ca="1">IFERROR(__xludf.DUMMYFUNCTION("INDEX(GOOGLEFINANCE(A382, ""open"", DATE(2025,2,3), DATE(2025,2,3)), 2, 2)"),5.59)</f>
        <v>5.59</v>
      </c>
      <c r="G382" s="8">
        <f ca="1">IFERROR(__xludf.DUMMYFUNCTION("INDEX(GOOGLEFINANCE(A382, ""close"", DATE(2025,2,7), DATE(2025,2,7)), 2, 2)"),5.69)</f>
        <v>5.69</v>
      </c>
      <c r="H382" s="9">
        <f t="shared" ca="1" si="4"/>
        <v>1.7889087656529614</v>
      </c>
      <c r="I382" s="10">
        <f t="shared" ca="1" si="5"/>
        <v>17.889087656529615</v>
      </c>
      <c r="J382" s="10" t="str">
        <f t="shared" si="6"/>
        <v>Put Spread</v>
      </c>
      <c r="K382" s="10" t="str">
        <f t="shared" ca="1" si="7"/>
        <v>Success</v>
      </c>
    </row>
    <row r="383" spans="1:11" ht="16">
      <c r="A383" s="1" t="s">
        <v>402</v>
      </c>
      <c r="B383" s="7" t="s">
        <v>14</v>
      </c>
      <c r="C383" s="8">
        <v>29.8</v>
      </c>
      <c r="D383" s="8" t="s">
        <v>15</v>
      </c>
      <c r="E383" s="8">
        <v>27.54</v>
      </c>
      <c r="F383" s="8">
        <f ca="1">IFERROR(__xludf.DUMMYFUNCTION("INDEX(GOOGLEFINANCE(A383, ""open"", DATE(2025,2,3), DATE(2025,2,3)), 2, 2)"),28.43)</f>
        <v>28.43</v>
      </c>
      <c r="G383" s="8">
        <f ca="1">IFERROR(__xludf.DUMMYFUNCTION("INDEX(GOOGLEFINANCE(A383, ""close"", DATE(2025,2,7), DATE(2025,2,7)), 2, 2)"),27.49)</f>
        <v>27.49</v>
      </c>
      <c r="H383" s="9">
        <f t="shared" ca="1" si="4"/>
        <v>-3.3063665142455201</v>
      </c>
      <c r="I383" s="10">
        <f t="shared" ca="1" si="5"/>
        <v>-33.0636651424552</v>
      </c>
      <c r="J383" s="10" t="str">
        <f t="shared" si="6"/>
        <v>Put Spread</v>
      </c>
      <c r="K383" s="10" t="str">
        <f t="shared" ca="1" si="7"/>
        <v>No</v>
      </c>
    </row>
    <row r="384" spans="1:11" ht="16">
      <c r="A384" s="1" t="s">
        <v>403</v>
      </c>
      <c r="B384" s="7" t="s">
        <v>14</v>
      </c>
      <c r="C384" s="8">
        <v>48.94</v>
      </c>
      <c r="D384" s="8" t="s">
        <v>15</v>
      </c>
      <c r="E384" s="8">
        <v>44.9</v>
      </c>
      <c r="F384" s="8">
        <f ca="1">IFERROR(__xludf.DUMMYFUNCTION("INDEX(GOOGLEFINANCE(A384, ""open"", DATE(2025,2,3), DATE(2025,2,3)), 2, 2)"),45.22)</f>
        <v>45.22</v>
      </c>
      <c r="G384" s="8">
        <f ca="1">IFERROR(__xludf.DUMMYFUNCTION("INDEX(GOOGLEFINANCE(A384, ""close"", DATE(2025,2,7), DATE(2025,2,7)), 2, 2)"),47.08)</f>
        <v>47.08</v>
      </c>
      <c r="H384" s="9">
        <f t="shared" ca="1" si="4"/>
        <v>4.1132242370632452</v>
      </c>
      <c r="I384" s="10">
        <f t="shared" ca="1" si="5"/>
        <v>41.132242370632447</v>
      </c>
      <c r="J384" s="10" t="str">
        <f t="shared" si="6"/>
        <v>Put Spread</v>
      </c>
      <c r="K384" s="10" t="str">
        <f t="shared" ca="1" si="7"/>
        <v>Success</v>
      </c>
    </row>
    <row r="385" spans="1:11" ht="16">
      <c r="A385" s="1" t="s">
        <v>404</v>
      </c>
      <c r="B385" s="7" t="s">
        <v>14</v>
      </c>
      <c r="C385" s="8">
        <v>2.42</v>
      </c>
      <c r="D385" s="8" t="s">
        <v>15</v>
      </c>
      <c r="E385" s="8">
        <v>1.92</v>
      </c>
      <c r="F385" s="8">
        <f ca="1">IFERROR(__xludf.DUMMYFUNCTION("INDEX(GOOGLEFINANCE(A385, ""open"", DATE(2025,2,3), DATE(2025,2,3)), 2, 2)"),2.09)</f>
        <v>2.09</v>
      </c>
      <c r="G385" s="8">
        <f ca="1">IFERROR(__xludf.DUMMYFUNCTION("INDEX(GOOGLEFINANCE(A385, ""close"", DATE(2025,2,7), DATE(2025,2,7)), 2, 2)"),2.38)</f>
        <v>2.38</v>
      </c>
      <c r="H385" s="9">
        <f t="shared" ca="1" si="4"/>
        <v>13.875598086124405</v>
      </c>
      <c r="I385" s="10">
        <f t="shared" ca="1" si="5"/>
        <v>138.75598086124407</v>
      </c>
      <c r="J385" s="10" t="str">
        <f t="shared" si="6"/>
        <v>Put Spread</v>
      </c>
      <c r="K385" s="10" t="str">
        <f t="shared" ca="1" si="7"/>
        <v>Success</v>
      </c>
    </row>
    <row r="386" spans="1:11" ht="16">
      <c r="A386" s="1" t="s">
        <v>405</v>
      </c>
      <c r="B386" s="7" t="s">
        <v>14</v>
      </c>
      <c r="C386" s="8">
        <v>11.75</v>
      </c>
      <c r="D386" s="8" t="s">
        <v>15</v>
      </c>
      <c r="E386" s="8">
        <v>8.69</v>
      </c>
      <c r="F386" s="8">
        <f ca="1">IFERROR(__xludf.DUMMYFUNCTION("INDEX(GOOGLEFINANCE(A386, ""open"", DATE(2025,2,3), DATE(2025,2,3)), 2, 2)"),9.32)</f>
        <v>9.32</v>
      </c>
      <c r="G386" s="8">
        <f ca="1">IFERROR(__xludf.DUMMYFUNCTION("INDEX(GOOGLEFINANCE(A386, ""close"", DATE(2025,2,7), DATE(2025,2,7)), 2, 2)"),12.47)</f>
        <v>12.47</v>
      </c>
      <c r="H386" s="9">
        <f t="shared" ca="1" si="4"/>
        <v>33.798283261802574</v>
      </c>
      <c r="I386" s="10">
        <f t="shared" ca="1" si="5"/>
        <v>337.98283261802572</v>
      </c>
      <c r="J386" s="10" t="str">
        <f t="shared" si="6"/>
        <v>Put Spread</v>
      </c>
      <c r="K386" s="10" t="str">
        <f t="shared" ca="1" si="7"/>
        <v>Success</v>
      </c>
    </row>
    <row r="387" spans="1:11" ht="16">
      <c r="A387" s="1" t="s">
        <v>406</v>
      </c>
      <c r="B387" s="7" t="s">
        <v>14</v>
      </c>
      <c r="C387" s="8">
        <v>2.6</v>
      </c>
      <c r="D387" s="8" t="s">
        <v>15</v>
      </c>
      <c r="E387" s="8">
        <v>2.08</v>
      </c>
      <c r="F387" s="8">
        <f ca="1">IFERROR(__xludf.DUMMYFUNCTION("INDEX(GOOGLEFINANCE(A387, ""open"", DATE(2025,2,3), DATE(2025,2,3)), 2, 2)"),2.24)</f>
        <v>2.2400000000000002</v>
      </c>
      <c r="G387" s="8">
        <f ca="1">IFERROR(__xludf.DUMMYFUNCTION("INDEX(GOOGLEFINANCE(A387, ""close"", DATE(2025,2,7), DATE(2025,2,7)), 2, 2)"),1.7)</f>
        <v>1.7</v>
      </c>
      <c r="H387" s="9">
        <f t="shared" ca="1" si="4"/>
        <v>-24.107142857142865</v>
      </c>
      <c r="I387" s="10">
        <f t="shared" ca="1" si="5"/>
        <v>-241.07142857142867</v>
      </c>
      <c r="J387" s="10" t="str">
        <f t="shared" si="6"/>
        <v>Put Spread</v>
      </c>
      <c r="K387" s="10" t="str">
        <f t="shared" ca="1" si="7"/>
        <v>No</v>
      </c>
    </row>
    <row r="388" spans="1:11" ht="16">
      <c r="A388" s="1" t="s">
        <v>407</v>
      </c>
      <c r="B388" s="7" t="s">
        <v>14</v>
      </c>
      <c r="C388" s="8">
        <v>590.84</v>
      </c>
      <c r="D388" s="8" t="s">
        <v>15</v>
      </c>
      <c r="E388" s="8">
        <v>552.91999999999996</v>
      </c>
      <c r="F388" s="8">
        <f ca="1">IFERROR(__xludf.DUMMYFUNCTION("INDEX(GOOGLEFINANCE(A388, ""open"", DATE(2025,2,3), DATE(2025,2,3)), 2, 2)"),564.87)</f>
        <v>564.87</v>
      </c>
      <c r="G388" s="8">
        <f ca="1">IFERROR(__xludf.DUMMYFUNCTION("INDEX(GOOGLEFINANCE(A388, ""close"", DATE(2025,2,7), DATE(2025,2,7)), 2, 2)"),582.98)</f>
        <v>582.98</v>
      </c>
      <c r="H388" s="9">
        <f t="shared" ca="1" si="4"/>
        <v>3.2060474091383884</v>
      </c>
      <c r="I388" s="10">
        <f t="shared" ca="1" si="5"/>
        <v>32.060474091383888</v>
      </c>
      <c r="J388" s="10" t="str">
        <f t="shared" si="6"/>
        <v>Put Spread</v>
      </c>
      <c r="K388" s="10" t="str">
        <f t="shared" ca="1" si="7"/>
        <v>Success</v>
      </c>
    </row>
    <row r="389" spans="1:11" ht="16">
      <c r="A389" s="1" t="s">
        <v>408</v>
      </c>
      <c r="B389" s="7" t="s">
        <v>14</v>
      </c>
      <c r="C389" s="8">
        <v>564.37</v>
      </c>
      <c r="D389" s="8" t="s">
        <v>15</v>
      </c>
      <c r="E389" s="8">
        <v>521.29</v>
      </c>
      <c r="F389" s="8">
        <f ca="1">IFERROR(__xludf.DUMMYFUNCTION("INDEX(GOOGLEFINANCE(A389, ""open"", DATE(2025,2,3), DATE(2025,2,3)), 2, 2)"),536.56)</f>
        <v>536.55999999999995</v>
      </c>
      <c r="G389" s="8">
        <f ca="1">IFERROR(__xludf.DUMMYFUNCTION("INDEX(GOOGLEFINANCE(A389, ""close"", DATE(2025,2,7), DATE(2025,2,7)), 2, 2)"),529.29)</f>
        <v>529.29</v>
      </c>
      <c r="H389" s="9">
        <f t="shared" ca="1" si="4"/>
        <v>-1.3549276874906782</v>
      </c>
      <c r="I389" s="10">
        <f t="shared" ca="1" si="5"/>
        <v>-13.549276874906782</v>
      </c>
      <c r="J389" s="10" t="str">
        <f t="shared" si="6"/>
        <v>Put Spread</v>
      </c>
      <c r="K389" s="10" t="str">
        <f t="shared" ca="1" si="7"/>
        <v>Success</v>
      </c>
    </row>
    <row r="390" spans="1:11" ht="16">
      <c r="A390" s="1" t="s">
        <v>409</v>
      </c>
      <c r="B390" s="7" t="s">
        <v>38</v>
      </c>
      <c r="C390" s="8">
        <v>103.12</v>
      </c>
      <c r="D390" s="8" t="s">
        <v>39</v>
      </c>
      <c r="E390" s="8">
        <v>111.38</v>
      </c>
      <c r="F390" s="8">
        <f ca="1">IFERROR(__xludf.DUMMYFUNCTION("INDEX(GOOGLEFINANCE(A390, ""open"", DATE(2025,2,3), DATE(2025,2,3)), 2, 2)"),105.13)</f>
        <v>105.13</v>
      </c>
      <c r="G390" s="8">
        <f ca="1">IFERROR(__xludf.DUMMYFUNCTION("INDEX(GOOGLEFINANCE(A390, ""close"", DATE(2025,2,7), DATE(2025,2,7)), 2, 2)"),102.72)</f>
        <v>102.72</v>
      </c>
      <c r="H390" s="9">
        <f t="shared" ca="1" si="4"/>
        <v>2.2923998858556045</v>
      </c>
      <c r="I390" s="10">
        <f t="shared" ca="1" si="5"/>
        <v>22.923998858556047</v>
      </c>
      <c r="J390" s="10" t="str">
        <f t="shared" si="6"/>
        <v>Call Spread</v>
      </c>
      <c r="K390" s="10" t="str">
        <f t="shared" ca="1" si="7"/>
        <v>Success</v>
      </c>
    </row>
    <row r="391" spans="1:11" ht="16">
      <c r="A391" s="1" t="s">
        <v>410</v>
      </c>
      <c r="B391" s="7" t="s">
        <v>14</v>
      </c>
      <c r="C391" s="8">
        <v>135.61000000000001</v>
      </c>
      <c r="D391" s="8" t="s">
        <v>15</v>
      </c>
      <c r="E391" s="8">
        <v>129.37</v>
      </c>
      <c r="F391" s="8">
        <f ca="1">IFERROR(__xludf.DUMMYFUNCTION("INDEX(GOOGLEFINANCE(A391, ""open"", DATE(2025,2,3), DATE(2025,2,3)), 2, 2)"),130.24)</f>
        <v>130.24</v>
      </c>
      <c r="G391" s="8">
        <f ca="1">IFERROR(__xludf.DUMMYFUNCTION("INDEX(GOOGLEFINANCE(A391, ""close"", DATE(2025,2,7), DATE(2025,2,7)), 2, 2)"),132.25)</f>
        <v>132.25</v>
      </c>
      <c r="H391" s="9">
        <f t="shared" ca="1" si="4"/>
        <v>1.5433046683046614</v>
      </c>
      <c r="I391" s="10">
        <f t="shared" ca="1" si="5"/>
        <v>15.433046683046614</v>
      </c>
      <c r="J391" s="10" t="str">
        <f t="shared" si="6"/>
        <v>Put Spread</v>
      </c>
      <c r="K391" s="10" t="str">
        <f t="shared" ca="1" si="7"/>
        <v>Success</v>
      </c>
    </row>
    <row r="392" spans="1:11" ht="16">
      <c r="A392" s="1" t="s">
        <v>411</v>
      </c>
      <c r="B392" s="7" t="s">
        <v>38</v>
      </c>
      <c r="C392" s="8">
        <v>592.51</v>
      </c>
      <c r="D392" s="8" t="s">
        <v>39</v>
      </c>
      <c r="E392" s="8">
        <v>616.80999999999995</v>
      </c>
      <c r="F392" s="8">
        <f ca="1">IFERROR(__xludf.DUMMYFUNCTION("INDEX(GOOGLEFINANCE(A392, ""open"", DATE(2025,2,3), DATE(2025,2,3)), 2, 2)"),595.58)</f>
        <v>595.58000000000004</v>
      </c>
      <c r="G392" s="8">
        <f ca="1">IFERROR(__xludf.DUMMYFUNCTION("INDEX(GOOGLEFINANCE(A392, ""close"", DATE(2025,2,7), DATE(2025,2,7)), 2, 2)"),603.8)</f>
        <v>603.79999999999995</v>
      </c>
      <c r="H392" s="9">
        <f t="shared" ca="1" si="4"/>
        <v>-1.3801672319419578</v>
      </c>
      <c r="I392" s="10">
        <f t="shared" ca="1" si="5"/>
        <v>-13.801672319419579</v>
      </c>
      <c r="J392" s="10" t="str">
        <f t="shared" si="6"/>
        <v>Call Spread</v>
      </c>
      <c r="K392" s="10" t="str">
        <f t="shared" ca="1" si="7"/>
        <v>Success</v>
      </c>
    </row>
    <row r="393" spans="1:11" ht="16">
      <c r="A393" s="1" t="s">
        <v>412</v>
      </c>
      <c r="B393" s="7" t="s">
        <v>38</v>
      </c>
      <c r="C393" s="8">
        <v>101.6</v>
      </c>
      <c r="D393" s="8" t="s">
        <v>39</v>
      </c>
      <c r="E393" s="8">
        <v>106.78</v>
      </c>
      <c r="F393" s="8">
        <f ca="1">IFERROR(__xludf.DUMMYFUNCTION("INDEX(GOOGLEFINANCE(A393, ""open"", DATE(2025,2,3), DATE(2025,2,3)), 2, 2)"),102.12)</f>
        <v>102.12</v>
      </c>
      <c r="G393" s="8">
        <f ca="1">IFERROR(__xludf.DUMMYFUNCTION("INDEX(GOOGLEFINANCE(A393, ""close"", DATE(2025,2,7), DATE(2025,2,7)), 2, 2)"),104.75)</f>
        <v>104.75</v>
      </c>
      <c r="H393" s="9">
        <f t="shared" ca="1" si="4"/>
        <v>-2.5754014884449621</v>
      </c>
      <c r="I393" s="10">
        <f t="shared" ca="1" si="5"/>
        <v>-25.754014884449621</v>
      </c>
      <c r="J393" s="10" t="str">
        <f t="shared" si="6"/>
        <v>Call Spread</v>
      </c>
      <c r="K393" s="10" t="str">
        <f t="shared" ca="1" si="7"/>
        <v>Success</v>
      </c>
    </row>
    <row r="394" spans="1:11" ht="16">
      <c r="A394" s="1" t="s">
        <v>413</v>
      </c>
      <c r="B394" s="7" t="s">
        <v>38</v>
      </c>
      <c r="C394" s="8">
        <v>325.57</v>
      </c>
      <c r="D394" s="8" t="s">
        <v>39</v>
      </c>
      <c r="E394" s="8">
        <v>338.75</v>
      </c>
      <c r="F394" s="8">
        <f ca="1">IFERROR(__xludf.DUMMYFUNCTION("INDEX(GOOGLEFINANCE(A394, ""open"", DATE(2025,2,3), DATE(2025,2,3)), 2, 2)"),326.71)</f>
        <v>326.70999999999998</v>
      </c>
      <c r="G394" s="8">
        <f ca="1">IFERROR(__xludf.DUMMYFUNCTION("INDEX(GOOGLEFINANCE(A394, ""close"", DATE(2025,2,7), DATE(2025,2,7)), 2, 2)"),331.56)</f>
        <v>331.56</v>
      </c>
      <c r="H394" s="9">
        <f t="shared" ca="1" si="4"/>
        <v>-1.4844969544856363</v>
      </c>
      <c r="I394" s="10">
        <f t="shared" ca="1" si="5"/>
        <v>-14.844969544856362</v>
      </c>
      <c r="J394" s="10" t="str">
        <f t="shared" si="6"/>
        <v>Call Spread</v>
      </c>
      <c r="K394" s="10" t="str">
        <f t="shared" ca="1" si="7"/>
        <v>Success</v>
      </c>
    </row>
    <row r="395" spans="1:11" ht="16">
      <c r="A395" s="1" t="s">
        <v>414</v>
      </c>
      <c r="B395" s="7" t="s">
        <v>14</v>
      </c>
      <c r="C395" s="8">
        <v>134.07</v>
      </c>
      <c r="D395" s="8" t="s">
        <v>15</v>
      </c>
      <c r="E395" s="8">
        <v>125.93</v>
      </c>
      <c r="F395" s="8">
        <f ca="1">IFERROR(__xludf.DUMMYFUNCTION("INDEX(GOOGLEFINANCE(A395, ""open"", DATE(2025,2,3), DATE(2025,2,3)), 2, 2)"),126.29)</f>
        <v>126.29</v>
      </c>
      <c r="G395" s="8">
        <f ca="1">IFERROR(__xludf.DUMMYFUNCTION("INDEX(GOOGLEFINANCE(A395, ""close"", DATE(2025,2,7), DATE(2025,2,7)), 2, 2)"),131.38)</f>
        <v>131.38</v>
      </c>
      <c r="H395" s="9">
        <f t="shared" ca="1" si="4"/>
        <v>4.030406207934111</v>
      </c>
      <c r="I395" s="10">
        <f t="shared" ca="1" si="5"/>
        <v>40.304062079341108</v>
      </c>
      <c r="J395" s="10" t="str">
        <f t="shared" si="6"/>
        <v>Put Spread</v>
      </c>
      <c r="K395" s="10" t="str">
        <f t="shared" ca="1" si="7"/>
        <v>Success</v>
      </c>
    </row>
    <row r="396" spans="1:11" ht="16">
      <c r="A396" s="1" t="s">
        <v>415</v>
      </c>
      <c r="B396" s="7" t="s">
        <v>14</v>
      </c>
      <c r="C396" s="8">
        <v>197.06</v>
      </c>
      <c r="D396" s="8" t="s">
        <v>15</v>
      </c>
      <c r="E396" s="8">
        <v>190.02</v>
      </c>
      <c r="F396" s="8">
        <f ca="1">IFERROR(__xludf.DUMMYFUNCTION("INDEX(GOOGLEFINANCE(A396, ""open"", DATE(2025,2,3), DATE(2025,2,3)), 2, 2)"),191.02)</f>
        <v>191.02</v>
      </c>
      <c r="G396" s="8">
        <f ca="1">IFERROR(__xludf.DUMMYFUNCTION("INDEX(GOOGLEFINANCE(A396, ""close"", DATE(2025,2,7), DATE(2025,2,7)), 2, 2)"),193.25)</f>
        <v>193.25</v>
      </c>
      <c r="H396" s="9">
        <f t="shared" ca="1" si="4"/>
        <v>1.1674170243953459</v>
      </c>
      <c r="I396" s="10">
        <f t="shared" ca="1" si="5"/>
        <v>11.674170243953458</v>
      </c>
      <c r="J396" s="10" t="str">
        <f t="shared" si="6"/>
        <v>Put Spread</v>
      </c>
      <c r="K396" s="10" t="str">
        <f t="shared" ca="1" si="7"/>
        <v>Success</v>
      </c>
    </row>
    <row r="397" spans="1:11" ht="16">
      <c r="A397" s="1" t="s">
        <v>416</v>
      </c>
      <c r="B397" s="7" t="s">
        <v>14</v>
      </c>
      <c r="C397" s="8">
        <v>419.97</v>
      </c>
      <c r="D397" s="8" t="s">
        <v>15</v>
      </c>
      <c r="E397" s="8">
        <v>398.65</v>
      </c>
      <c r="F397" s="8">
        <f ca="1">IFERROR(__xludf.DUMMYFUNCTION("INDEX(GOOGLEFINANCE(A397, ""open"", DATE(2025,2,3), DATE(2025,2,3)), 2, 2)"),401.27)</f>
        <v>401.27</v>
      </c>
      <c r="G397" s="8">
        <f ca="1">IFERROR(__xludf.DUMMYFUNCTION("INDEX(GOOGLEFINANCE(A397, ""close"", DATE(2025,2,7), DATE(2025,2,7)), 2, 2)"),408.11)</f>
        <v>408.11</v>
      </c>
      <c r="H397" s="9">
        <f t="shared" ca="1" si="4"/>
        <v>1.7045879333117433</v>
      </c>
      <c r="I397" s="10">
        <f t="shared" ca="1" si="5"/>
        <v>17.045879333117433</v>
      </c>
      <c r="J397" s="10" t="str">
        <f t="shared" si="6"/>
        <v>Put Spread</v>
      </c>
      <c r="K397" s="10" t="str">
        <f t="shared" ca="1" si="7"/>
        <v>Success</v>
      </c>
    </row>
    <row r="398" spans="1:11" ht="16">
      <c r="A398" s="1" t="s">
        <v>417</v>
      </c>
      <c r="B398" s="7" t="s">
        <v>38</v>
      </c>
      <c r="C398" s="8">
        <v>219.98</v>
      </c>
      <c r="D398" s="8" t="s">
        <v>39</v>
      </c>
      <c r="E398" s="8">
        <v>232.98</v>
      </c>
      <c r="F398" s="8">
        <f ca="1">IFERROR(__xludf.DUMMYFUNCTION("INDEX(GOOGLEFINANCE(A398, ""open"", DATE(2025,2,3), DATE(2025,2,3)), 2, 2)"),221.51)</f>
        <v>221.51</v>
      </c>
      <c r="G398" s="8">
        <f ca="1">IFERROR(__xludf.DUMMYFUNCTION("INDEX(GOOGLEFINANCE(A398, ""close"", DATE(2025,2,7), DATE(2025,2,7)), 2, 2)"),226)</f>
        <v>226</v>
      </c>
      <c r="H398" s="9">
        <f t="shared" ca="1" si="4"/>
        <v>-2.0269965238589722</v>
      </c>
      <c r="I398" s="10">
        <f t="shared" ca="1" si="5"/>
        <v>-20.269965238589723</v>
      </c>
      <c r="J398" s="10" t="str">
        <f t="shared" si="6"/>
        <v>Call Spread</v>
      </c>
      <c r="K398" s="10" t="str">
        <f t="shared" ca="1" si="7"/>
        <v>Success</v>
      </c>
    </row>
    <row r="399" spans="1:11" ht="16">
      <c r="A399" s="1" t="s">
        <v>418</v>
      </c>
      <c r="B399" s="7" t="s">
        <v>14</v>
      </c>
      <c r="C399" s="8">
        <v>305.89999999999998</v>
      </c>
      <c r="D399" s="8" t="s">
        <v>15</v>
      </c>
      <c r="E399" s="8">
        <v>287.92</v>
      </c>
      <c r="F399" s="8">
        <f ca="1">IFERROR(__xludf.DUMMYFUNCTION("INDEX(GOOGLEFINANCE(A399, ""open"", DATE(2025,2,3), DATE(2025,2,3)), 2, 2)"),288.92)</f>
        <v>288.92</v>
      </c>
      <c r="G399" s="8">
        <f ca="1">IFERROR(__xludf.DUMMYFUNCTION("INDEX(GOOGLEFINANCE(A399, ""close"", DATE(2025,2,7), DATE(2025,2,7)), 2, 2)"),296.2)</f>
        <v>296.2</v>
      </c>
      <c r="H399" s="9">
        <f t="shared" ca="1" si="4"/>
        <v>2.5197286446074942</v>
      </c>
      <c r="I399" s="10">
        <f t="shared" ca="1" si="5"/>
        <v>25.197286446074941</v>
      </c>
      <c r="J399" s="10" t="str">
        <f t="shared" si="6"/>
        <v>Put Spread</v>
      </c>
      <c r="K399" s="10" t="str">
        <f t="shared" ca="1" si="7"/>
        <v>Success</v>
      </c>
    </row>
    <row r="400" spans="1:11" ht="16">
      <c r="A400" s="1" t="s">
        <v>419</v>
      </c>
      <c r="B400" s="7" t="s">
        <v>38</v>
      </c>
      <c r="C400" s="8">
        <v>92</v>
      </c>
      <c r="D400" s="8" t="s">
        <v>39</v>
      </c>
      <c r="E400" s="8">
        <v>97.64</v>
      </c>
      <c r="F400" s="8">
        <f ca="1">IFERROR(__xludf.DUMMYFUNCTION("INDEX(GOOGLEFINANCE(A400, ""open"", DATE(2025,2,3), DATE(2025,2,3)), 2, 2)"),93.83)</f>
        <v>93.83</v>
      </c>
      <c r="G400" s="8">
        <f ca="1">IFERROR(__xludf.DUMMYFUNCTION("INDEX(GOOGLEFINANCE(A400, ""close"", DATE(2025,2,7), DATE(2025,2,7)), 2, 2)"),95.94)</f>
        <v>95.94</v>
      </c>
      <c r="H400" s="9">
        <f t="shared" ca="1" si="4"/>
        <v>-2.2487477352659058</v>
      </c>
      <c r="I400" s="10">
        <f t="shared" ca="1" si="5"/>
        <v>-22.487477352659056</v>
      </c>
      <c r="J400" s="10" t="str">
        <f t="shared" si="6"/>
        <v>Call Spread</v>
      </c>
      <c r="K400" s="10" t="str">
        <f t="shared" ca="1" si="7"/>
        <v>Success</v>
      </c>
    </row>
    <row r="401" spans="1:11" ht="16">
      <c r="A401" s="1" t="s">
        <v>420</v>
      </c>
      <c r="B401" s="7" t="s">
        <v>38</v>
      </c>
      <c r="C401" s="8">
        <v>68.5</v>
      </c>
      <c r="D401" s="8" t="s">
        <v>39</v>
      </c>
      <c r="E401" s="8">
        <v>71.819999999999993</v>
      </c>
      <c r="F401" s="8">
        <f ca="1">IFERROR(__xludf.DUMMYFUNCTION("INDEX(GOOGLEFINANCE(A401, ""open"", DATE(2025,2,3), DATE(2025,2,3)), 2, 2)"),68.66)</f>
        <v>68.66</v>
      </c>
      <c r="G401" s="8">
        <f ca="1">IFERROR(__xludf.DUMMYFUNCTION("INDEX(GOOGLEFINANCE(A401, ""close"", DATE(2025,2,7), DATE(2025,2,7)), 2, 2)"),71.09)</f>
        <v>71.09</v>
      </c>
      <c r="H401" s="9">
        <f t="shared" ca="1" si="4"/>
        <v>-3.5391785610253521</v>
      </c>
      <c r="I401" s="10">
        <f t="shared" ca="1" si="5"/>
        <v>-35.391785610253521</v>
      </c>
      <c r="J401" s="10" t="str">
        <f t="shared" si="6"/>
        <v>Call Spread</v>
      </c>
      <c r="K401" s="10" t="str">
        <f t="shared" ca="1" si="7"/>
        <v>Success</v>
      </c>
    </row>
    <row r="402" spans="1:11" ht="16">
      <c r="A402" s="1" t="s">
        <v>421</v>
      </c>
      <c r="B402" s="7" t="s">
        <v>14</v>
      </c>
      <c r="C402" s="8">
        <v>7.18</v>
      </c>
      <c r="D402" s="8" t="s">
        <v>15</v>
      </c>
      <c r="E402" s="8">
        <v>5.98</v>
      </c>
      <c r="F402" s="8">
        <f ca="1">IFERROR(__xludf.DUMMYFUNCTION("INDEX(GOOGLEFINANCE(A402, ""open"", DATE(2025,2,3), DATE(2025,2,3)), 2, 2)"),6.3)</f>
        <v>6.3</v>
      </c>
      <c r="G402" s="8">
        <f ca="1">IFERROR(__xludf.DUMMYFUNCTION("INDEX(GOOGLEFINANCE(A402, ""close"", DATE(2025,2,7), DATE(2025,2,7)), 2, 2)"),6.67)</f>
        <v>6.67</v>
      </c>
      <c r="H402" s="9">
        <f t="shared" ca="1" si="4"/>
        <v>5.8730158730158752</v>
      </c>
      <c r="I402" s="10">
        <f t="shared" ca="1" si="5"/>
        <v>58.730158730158756</v>
      </c>
      <c r="J402" s="10" t="str">
        <f t="shared" si="6"/>
        <v>Put Spread</v>
      </c>
      <c r="K402" s="10" t="str">
        <f t="shared" ca="1" si="7"/>
        <v>Success</v>
      </c>
    </row>
    <row r="403" spans="1:11" ht="16">
      <c r="A403" s="1" t="s">
        <v>422</v>
      </c>
      <c r="B403" s="7" t="s">
        <v>14</v>
      </c>
      <c r="C403" s="8">
        <v>81.27</v>
      </c>
      <c r="D403" s="8" t="s">
        <v>15</v>
      </c>
      <c r="E403" s="8">
        <v>74.73</v>
      </c>
      <c r="F403" s="8">
        <f ca="1">IFERROR(__xludf.DUMMYFUNCTION("INDEX(GOOGLEFINANCE(A403, ""open"", DATE(2025,2,3), DATE(2025,2,3)), 2, 2)"),76.44)</f>
        <v>76.44</v>
      </c>
      <c r="G403" s="8">
        <f ca="1">IFERROR(__xludf.DUMMYFUNCTION("INDEX(GOOGLEFINANCE(A403, ""close"", DATE(2025,2,7), DATE(2025,2,7)), 2, 2)"),87.65)</f>
        <v>87.65</v>
      </c>
      <c r="H403" s="9">
        <f t="shared" ca="1" si="4"/>
        <v>14.665096807953962</v>
      </c>
      <c r="I403" s="10">
        <f t="shared" ca="1" si="5"/>
        <v>146.65096807953961</v>
      </c>
      <c r="J403" s="10" t="str">
        <f t="shared" si="6"/>
        <v>Put Spread</v>
      </c>
      <c r="K403" s="10" t="str">
        <f t="shared" ca="1" si="7"/>
        <v>Success</v>
      </c>
    </row>
    <row r="404" spans="1:11" ht="16">
      <c r="A404" s="1" t="s">
        <v>423</v>
      </c>
      <c r="B404" s="7" t="s">
        <v>14</v>
      </c>
      <c r="C404" s="8">
        <v>43.32</v>
      </c>
      <c r="D404" s="8" t="s">
        <v>15</v>
      </c>
      <c r="E404" s="8">
        <v>38.119999999999997</v>
      </c>
      <c r="F404" s="8">
        <f ca="1">IFERROR(__xludf.DUMMYFUNCTION("INDEX(GOOGLEFINANCE(A404, ""open"", DATE(2025,2,3), DATE(2025,2,3)), 2, 2)"),38.94)</f>
        <v>38.94</v>
      </c>
      <c r="G404" s="8">
        <f ca="1">IFERROR(__xludf.DUMMYFUNCTION("INDEX(GOOGLEFINANCE(A404, ""close"", DATE(2025,2,7), DATE(2025,2,7)), 2, 2)"),40.17)</f>
        <v>40.17</v>
      </c>
      <c r="H404" s="9">
        <f t="shared" ca="1" si="4"/>
        <v>3.1587057010785928</v>
      </c>
      <c r="I404" s="10">
        <f t="shared" ca="1" si="5"/>
        <v>31.58705701078593</v>
      </c>
      <c r="J404" s="10" t="str">
        <f t="shared" si="6"/>
        <v>Put Spread</v>
      </c>
      <c r="K404" s="10" t="str">
        <f t="shared" ca="1" si="7"/>
        <v>Success</v>
      </c>
    </row>
    <row r="405" spans="1:11" ht="16">
      <c r="A405" s="1" t="s">
        <v>424</v>
      </c>
      <c r="B405" s="7" t="s">
        <v>14</v>
      </c>
      <c r="C405" s="8">
        <v>25.96</v>
      </c>
      <c r="D405" s="8" t="s">
        <v>15</v>
      </c>
      <c r="E405" s="8">
        <v>21.48</v>
      </c>
      <c r="F405" s="8">
        <f ca="1">IFERROR(__xludf.DUMMYFUNCTION("INDEX(GOOGLEFINANCE(A405, ""open"", DATE(2025,2,3), DATE(2025,2,3)), 2, 2)"),23.49)</f>
        <v>23.49</v>
      </c>
      <c r="G405" s="8">
        <f ca="1">IFERROR(__xludf.DUMMYFUNCTION("INDEX(GOOGLEFINANCE(A405, ""close"", DATE(2025,2,7), DATE(2025,2,7)), 2, 2)"),21.37)</f>
        <v>21.37</v>
      </c>
      <c r="H405" s="9">
        <f t="shared" ca="1" si="4"/>
        <v>-9.0251170710940727</v>
      </c>
      <c r="I405" s="10">
        <f t="shared" ca="1" si="5"/>
        <v>-90.251170710940727</v>
      </c>
      <c r="J405" s="10" t="str">
        <f t="shared" si="6"/>
        <v>Put Spread</v>
      </c>
      <c r="K405" s="10" t="str">
        <f t="shared" ca="1" si="7"/>
        <v>No</v>
      </c>
    </row>
    <row r="406" spans="1:11" ht="16">
      <c r="A406" s="1" t="s">
        <v>425</v>
      </c>
      <c r="B406" s="7" t="s">
        <v>14</v>
      </c>
      <c r="C406" s="8">
        <v>59.63</v>
      </c>
      <c r="D406" s="8" t="s">
        <v>15</v>
      </c>
      <c r="E406" s="8">
        <v>58.31</v>
      </c>
      <c r="F406" s="8">
        <f ca="1">IFERROR(__xludf.DUMMYFUNCTION("INDEX(GOOGLEFINANCE(A406, ""open"", DATE(2025,2,3), DATE(2025,2,3)), 2, 2)"),58.07)</f>
        <v>58.07</v>
      </c>
      <c r="G406" s="8">
        <f ca="1">IFERROR(__xludf.DUMMYFUNCTION("INDEX(GOOGLEFINANCE(A406, ""close"", DATE(2025,2,7), DATE(2025,2,7)), 2, 2)"),58.79)</f>
        <v>58.79</v>
      </c>
      <c r="H406" s="9">
        <f t="shared" ca="1" si="4"/>
        <v>1.2398828999483362</v>
      </c>
      <c r="I406" s="10">
        <f t="shared" ca="1" si="5"/>
        <v>12.398828999483362</v>
      </c>
      <c r="J406" s="10" t="str">
        <f t="shared" si="6"/>
        <v>Put Spread</v>
      </c>
      <c r="K406" s="10" t="str">
        <f t="shared" ca="1" si="7"/>
        <v>Success</v>
      </c>
    </row>
    <row r="407" spans="1:11" ht="16">
      <c r="A407" s="1" t="s">
        <v>426</v>
      </c>
      <c r="B407" s="7" t="s">
        <v>14</v>
      </c>
      <c r="C407" s="8">
        <v>58.32</v>
      </c>
      <c r="D407" s="8" t="s">
        <v>15</v>
      </c>
      <c r="E407" s="8">
        <v>56.62</v>
      </c>
      <c r="F407" s="8">
        <f ca="1">IFERROR(__xludf.DUMMYFUNCTION("INDEX(GOOGLEFINANCE(A407, ""open"", DATE(2025,2,3), DATE(2025,2,3)), 2, 2)"),56.22)</f>
        <v>56.22</v>
      </c>
      <c r="G407" s="8">
        <f ca="1">IFERROR(__xludf.DUMMYFUNCTION("INDEX(GOOGLEFINANCE(A407, ""close"", DATE(2025,2,7), DATE(2025,2,7)), 2, 2)"),57.17)</f>
        <v>57.17</v>
      </c>
      <c r="H407" s="9">
        <f t="shared" ca="1" si="4"/>
        <v>1.6897901102810438</v>
      </c>
      <c r="I407" s="10">
        <f t="shared" ca="1" si="5"/>
        <v>16.897901102810437</v>
      </c>
      <c r="J407" s="10" t="str">
        <f t="shared" si="6"/>
        <v>Put Spread</v>
      </c>
      <c r="K407" s="10" t="str">
        <f t="shared" ca="1" si="7"/>
        <v>Success</v>
      </c>
    </row>
    <row r="408" spans="1:11" ht="16">
      <c r="A408" s="1" t="s">
        <v>427</v>
      </c>
      <c r="B408" s="7" t="s">
        <v>38</v>
      </c>
      <c r="C408" s="8">
        <v>24.78</v>
      </c>
      <c r="D408" s="8" t="s">
        <v>39</v>
      </c>
      <c r="E408" s="8">
        <v>27.28</v>
      </c>
      <c r="F408" s="8">
        <f ca="1">IFERROR(__xludf.DUMMYFUNCTION("INDEX(GOOGLEFINANCE(A408, ""open"", DATE(2025,2,3), DATE(2025,2,3)), 2, 2)"),25.22)</f>
        <v>25.22</v>
      </c>
      <c r="G408" s="8">
        <f ca="1">IFERROR(__xludf.DUMMYFUNCTION("INDEX(GOOGLEFINANCE(A408, ""close"", DATE(2025,2,7), DATE(2025,2,7)), 2, 2)"),26.42)</f>
        <v>26.42</v>
      </c>
      <c r="H408" s="9">
        <f t="shared" ca="1" si="4"/>
        <v>-4.7581284694686872</v>
      </c>
      <c r="I408" s="10">
        <f t="shared" ca="1" si="5"/>
        <v>-47.581284694686872</v>
      </c>
      <c r="J408" s="10" t="str">
        <f t="shared" si="6"/>
        <v>Call Spread</v>
      </c>
      <c r="K408" s="10" t="str">
        <f t="shared" ca="1" si="7"/>
        <v>Success</v>
      </c>
    </row>
    <row r="409" spans="1:11" ht="16">
      <c r="A409" s="1" t="s">
        <v>428</v>
      </c>
      <c r="B409" s="7" t="s">
        <v>14</v>
      </c>
      <c r="C409" s="8">
        <v>4.59</v>
      </c>
      <c r="D409" s="8" t="s">
        <v>15</v>
      </c>
      <c r="E409" s="8">
        <v>3.39</v>
      </c>
      <c r="F409" s="8">
        <f ca="1">IFERROR(__xludf.DUMMYFUNCTION("INDEX(GOOGLEFINANCE(A409, ""open"", DATE(2025,2,3), DATE(2025,2,3)), 2, 2)"),3.84)</f>
        <v>3.84</v>
      </c>
      <c r="G409" s="8">
        <f ca="1">IFERROR(__xludf.DUMMYFUNCTION("INDEX(GOOGLEFINANCE(A409, ""close"", DATE(2025,2,7), DATE(2025,2,7)), 2, 2)"),3.99)</f>
        <v>3.99</v>
      </c>
      <c r="H409" s="9">
        <f t="shared" ca="1" si="4"/>
        <v>3.9062500000000098</v>
      </c>
      <c r="I409" s="10">
        <f t="shared" ca="1" si="5"/>
        <v>39.062500000000092</v>
      </c>
      <c r="J409" s="10" t="str">
        <f t="shared" si="6"/>
        <v>Put Spread</v>
      </c>
      <c r="K409" s="10" t="str">
        <f t="shared" ca="1" si="7"/>
        <v>Success</v>
      </c>
    </row>
    <row r="410" spans="1:11" ht="16">
      <c r="A410" s="1" t="s">
        <v>429</v>
      </c>
      <c r="B410" s="7" t="s">
        <v>14</v>
      </c>
      <c r="C410" s="8">
        <v>155.1</v>
      </c>
      <c r="D410" s="8" t="s">
        <v>15</v>
      </c>
      <c r="E410" s="8">
        <v>149.19999999999999</v>
      </c>
      <c r="F410" s="8">
        <f ca="1">IFERROR(__xludf.DUMMYFUNCTION("INDEX(GOOGLEFINANCE(A410, ""open"", DATE(2025,2,3), DATE(2025,2,3)), 2, 2)"),152)</f>
        <v>152</v>
      </c>
      <c r="G410" s="8">
        <f ca="1">IFERROR(__xludf.DUMMYFUNCTION("INDEX(GOOGLEFINANCE(A410, ""close"", DATE(2025,2,7), DATE(2025,2,7)), 2, 2)"),153.12)</f>
        <v>153.12</v>
      </c>
      <c r="H410" s="9">
        <f t="shared" ca="1" si="4"/>
        <v>0.73684210526316096</v>
      </c>
      <c r="I410" s="10">
        <f t="shared" ca="1" si="5"/>
        <v>7.3684210526316098</v>
      </c>
      <c r="J410" s="10" t="str">
        <f t="shared" si="6"/>
        <v>Put Spread</v>
      </c>
      <c r="K410" s="10" t="str">
        <f t="shared" ca="1" si="7"/>
        <v>Success</v>
      </c>
    </row>
    <row r="411" spans="1:11" ht="16">
      <c r="A411" s="1" t="s">
        <v>430</v>
      </c>
      <c r="B411" s="7" t="s">
        <v>14</v>
      </c>
      <c r="C411" s="8">
        <v>97.95</v>
      </c>
      <c r="D411" s="8" t="s">
        <v>15</v>
      </c>
      <c r="E411" s="8">
        <v>95.57</v>
      </c>
      <c r="F411" s="8">
        <f ca="1">IFERROR(__xludf.DUMMYFUNCTION("INDEX(GOOGLEFINANCE(A411, ""open"", DATE(2025,2,3), DATE(2025,2,3)), 2, 2)"),95.88)</f>
        <v>95.88</v>
      </c>
      <c r="G411" s="8">
        <f ca="1">IFERROR(__xludf.DUMMYFUNCTION("INDEX(GOOGLEFINANCE(A411, ""close"", DATE(2025,2,7), DATE(2025,2,7)), 2, 2)"),96.24)</f>
        <v>96.24</v>
      </c>
      <c r="H411" s="9">
        <f t="shared" ca="1" si="4"/>
        <v>0.37546933667083798</v>
      </c>
      <c r="I411" s="10">
        <f t="shared" ca="1" si="5"/>
        <v>3.7546933667083802</v>
      </c>
      <c r="J411" s="10" t="str">
        <f t="shared" si="6"/>
        <v>Put Spread</v>
      </c>
      <c r="K411" s="10" t="str">
        <f t="shared" ca="1" si="7"/>
        <v>Success</v>
      </c>
    </row>
    <row r="412" spans="1:11" ht="16">
      <c r="A412" s="1" t="s">
        <v>431</v>
      </c>
      <c r="B412" s="7" t="s">
        <v>14</v>
      </c>
      <c r="C412" s="8">
        <v>9.2100000000000009</v>
      </c>
      <c r="D412" s="8" t="s">
        <v>15</v>
      </c>
      <c r="E412" s="8">
        <v>7.31</v>
      </c>
      <c r="F412" s="8">
        <f ca="1">IFERROR(__xludf.DUMMYFUNCTION("INDEX(GOOGLEFINANCE(A412, ""open"", DATE(2025,2,3), DATE(2025,2,3)), 2, 2)"),7.92)</f>
        <v>7.92</v>
      </c>
      <c r="G412" s="8">
        <f ca="1">IFERROR(__xludf.DUMMYFUNCTION("INDEX(GOOGLEFINANCE(A412, ""close"", DATE(2025,2,7), DATE(2025,2,7)), 2, 2)"),7.78)</f>
        <v>7.78</v>
      </c>
      <c r="H412" s="9">
        <f t="shared" ca="1" si="4"/>
        <v>-1.7676767676767637</v>
      </c>
      <c r="I412" s="10">
        <f t="shared" ca="1" si="5"/>
        <v>-17.676767676767639</v>
      </c>
      <c r="J412" s="10" t="str">
        <f t="shared" si="6"/>
        <v>Put Spread</v>
      </c>
      <c r="K412" s="10" t="str">
        <f t="shared" ca="1" si="7"/>
        <v>Success</v>
      </c>
    </row>
    <row r="413" spans="1:11" ht="16">
      <c r="A413" s="1" t="s">
        <v>432</v>
      </c>
      <c r="B413" s="7" t="s">
        <v>14</v>
      </c>
      <c r="C413" s="8">
        <v>274.70999999999998</v>
      </c>
      <c r="D413" s="8" t="s">
        <v>15</v>
      </c>
      <c r="E413" s="8">
        <v>259.89</v>
      </c>
      <c r="F413" s="8">
        <f ca="1">IFERROR(__xludf.DUMMYFUNCTION("INDEX(GOOGLEFINANCE(A413, ""open"", DATE(2025,2,3), DATE(2025,2,3)), 2, 2)"),261.83)</f>
        <v>261.83</v>
      </c>
      <c r="G413" s="8">
        <f ca="1">IFERROR(__xludf.DUMMYFUNCTION("INDEX(GOOGLEFINANCE(A413, ""close"", DATE(2025,2,7), DATE(2025,2,7)), 2, 2)"),275.8)</f>
        <v>275.8</v>
      </c>
      <c r="H413" s="9">
        <f t="shared" ca="1" si="4"/>
        <v>5.3355230493068131</v>
      </c>
      <c r="I413" s="10">
        <f t="shared" ca="1" si="5"/>
        <v>53.355230493068127</v>
      </c>
      <c r="J413" s="10" t="str">
        <f t="shared" si="6"/>
        <v>Put Spread</v>
      </c>
      <c r="K413" s="10" t="str">
        <f t="shared" ca="1" si="7"/>
        <v>Success</v>
      </c>
    </row>
    <row r="414" spans="1:11" ht="16">
      <c r="A414" s="1" t="s">
        <v>433</v>
      </c>
      <c r="B414" s="7" t="s">
        <v>14</v>
      </c>
      <c r="C414" s="8">
        <v>27.45</v>
      </c>
      <c r="D414" s="8" t="s">
        <v>15</v>
      </c>
      <c r="E414" s="8">
        <v>20.95</v>
      </c>
      <c r="F414" s="8">
        <f ca="1">IFERROR(__xludf.DUMMYFUNCTION("INDEX(GOOGLEFINANCE(A414, ""open"", DATE(2025,2,3), DATE(2025,2,3)), 2, 2)"),24.19)</f>
        <v>24.19</v>
      </c>
      <c r="G414" s="8">
        <f ca="1">IFERROR(__xludf.DUMMYFUNCTION("INDEX(GOOGLEFINANCE(A414, ""close"", DATE(2025,2,7), DATE(2025,2,7)), 2, 2)"),24.25)</f>
        <v>24.25</v>
      </c>
      <c r="H414" s="9">
        <f t="shared" ca="1" si="4"/>
        <v>0.24803637866886613</v>
      </c>
      <c r="I414" s="10">
        <f t="shared" ca="1" si="5"/>
        <v>2.4803637866886614</v>
      </c>
      <c r="J414" s="10" t="str">
        <f t="shared" si="6"/>
        <v>Put Spread</v>
      </c>
      <c r="K414" s="10" t="str">
        <f t="shared" ca="1" si="7"/>
        <v>Success</v>
      </c>
    </row>
    <row r="415" spans="1:11" ht="16">
      <c r="A415" s="1" t="s">
        <v>434</v>
      </c>
      <c r="B415" s="7" t="s">
        <v>38</v>
      </c>
      <c r="C415" s="8">
        <v>56.41</v>
      </c>
      <c r="D415" s="8" t="s">
        <v>39</v>
      </c>
      <c r="E415" s="8">
        <v>61.33</v>
      </c>
      <c r="F415" s="8">
        <f ca="1">IFERROR(__xludf.DUMMYFUNCTION("INDEX(GOOGLEFINANCE(A415, ""open"", DATE(2025,2,3), DATE(2025,2,3)), 2, 2)"),57.42)</f>
        <v>57.42</v>
      </c>
      <c r="G415" s="8">
        <f ca="1">IFERROR(__xludf.DUMMYFUNCTION("INDEX(GOOGLEFINANCE(A415, ""close"", DATE(2025,2,7), DATE(2025,2,7)), 2, 2)"),59.26)</f>
        <v>59.26</v>
      </c>
      <c r="H415" s="9">
        <f t="shared" ca="1" si="4"/>
        <v>-3.2044583768721635</v>
      </c>
      <c r="I415" s="10">
        <f t="shared" ca="1" si="5"/>
        <v>-32.044583768721637</v>
      </c>
      <c r="J415" s="10" t="str">
        <f t="shared" si="6"/>
        <v>Call Spread</v>
      </c>
      <c r="K415" s="10" t="str">
        <f t="shared" ca="1" si="7"/>
        <v>Success</v>
      </c>
    </row>
    <row r="416" spans="1:11" ht="16">
      <c r="A416" s="1" t="s">
        <v>435</v>
      </c>
      <c r="B416" s="7" t="s">
        <v>14</v>
      </c>
      <c r="C416" s="8">
        <v>116.56</v>
      </c>
      <c r="D416" s="8" t="s">
        <v>15</v>
      </c>
      <c r="E416" s="8">
        <v>111.2</v>
      </c>
      <c r="F416" s="8">
        <f ca="1">IFERROR(__xludf.DUMMYFUNCTION("INDEX(GOOGLEFINANCE(A416, ""open"", DATE(2025,2,3), DATE(2025,2,3)), 2, 2)"),112.07)</f>
        <v>112.07</v>
      </c>
      <c r="G416" s="8">
        <f ca="1">IFERROR(__xludf.DUMMYFUNCTION("INDEX(GOOGLEFINANCE(A416, ""close"", DATE(2025,2,7), DATE(2025,2,7)), 2, 2)"),114.72)</f>
        <v>114.72</v>
      </c>
      <c r="H416" s="9">
        <f t="shared" ca="1" si="4"/>
        <v>2.3645935575979351</v>
      </c>
      <c r="I416" s="10">
        <f t="shared" ca="1" si="5"/>
        <v>23.645935575979351</v>
      </c>
      <c r="J416" s="10" t="str">
        <f t="shared" si="6"/>
        <v>Put Spread</v>
      </c>
      <c r="K416" s="10" t="str">
        <f t="shared" ca="1" si="7"/>
        <v>Success</v>
      </c>
    </row>
    <row r="417" spans="1:11" ht="16">
      <c r="A417" s="1" t="s">
        <v>436</v>
      </c>
      <c r="B417" s="7" t="s">
        <v>14</v>
      </c>
      <c r="C417" s="8">
        <v>149.69</v>
      </c>
      <c r="D417" s="8" t="s">
        <v>15</v>
      </c>
      <c r="E417" s="8">
        <v>142.71</v>
      </c>
      <c r="F417" s="8">
        <f ca="1">IFERROR(__xludf.DUMMYFUNCTION("INDEX(GOOGLEFINANCE(A417, ""open"", DATE(2025,2,3), DATE(2025,2,3)), 2, 2)"),143.13)</f>
        <v>143.13</v>
      </c>
      <c r="G417" s="8">
        <f ca="1">IFERROR(__xludf.DUMMYFUNCTION("INDEX(GOOGLEFINANCE(A417, ""close"", DATE(2025,2,7), DATE(2025,2,7)), 2, 2)"),144.93)</f>
        <v>144.93</v>
      </c>
      <c r="H417" s="9">
        <f t="shared" ca="1" si="4"/>
        <v>1.2575979878432275</v>
      </c>
      <c r="I417" s="10">
        <f t="shared" ca="1" si="5"/>
        <v>12.575979878432275</v>
      </c>
      <c r="J417" s="10" t="str">
        <f t="shared" si="6"/>
        <v>Put Spread</v>
      </c>
      <c r="K417" s="10" t="str">
        <f t="shared" ca="1" si="7"/>
        <v>Success</v>
      </c>
    </row>
    <row r="418" spans="1:11" ht="16">
      <c r="A418" s="1" t="s">
        <v>437</v>
      </c>
      <c r="B418" s="7" t="s">
        <v>14</v>
      </c>
      <c r="C418" s="8">
        <v>33.11</v>
      </c>
      <c r="D418" s="8" t="s">
        <v>15</v>
      </c>
      <c r="E418" s="8">
        <v>31.09</v>
      </c>
      <c r="F418" s="8">
        <f ca="1">IFERROR(__xludf.DUMMYFUNCTION("INDEX(GOOGLEFINANCE(A418, ""open"", DATE(2025,2,3), DATE(2025,2,3)), 2, 2)"),32.1)</f>
        <v>32.1</v>
      </c>
      <c r="G418" s="8">
        <f ca="1">IFERROR(__xludf.DUMMYFUNCTION("INDEX(GOOGLEFINANCE(A418, ""close"", DATE(2025,2,7), DATE(2025,2,7)), 2, 2)"),31.04)</f>
        <v>31.04</v>
      </c>
      <c r="H418" s="9">
        <f t="shared" ca="1" si="4"/>
        <v>-3.302180685358262</v>
      </c>
      <c r="I418" s="10">
        <f t="shared" ca="1" si="5"/>
        <v>-33.021806853582618</v>
      </c>
      <c r="J418" s="10" t="str">
        <f t="shared" si="6"/>
        <v>Put Spread</v>
      </c>
      <c r="K418" s="10" t="str">
        <f t="shared" ca="1" si="7"/>
        <v>No</v>
      </c>
    </row>
    <row r="419" spans="1:11" ht="16">
      <c r="A419" s="1" t="s">
        <v>438</v>
      </c>
      <c r="B419" s="7" t="s">
        <v>14</v>
      </c>
      <c r="C419" s="8">
        <v>18.559999999999999</v>
      </c>
      <c r="D419" s="8" t="s">
        <v>15</v>
      </c>
      <c r="E419" s="8">
        <v>17.399999999999999</v>
      </c>
      <c r="F419" s="8">
        <f ca="1">IFERROR(__xludf.DUMMYFUNCTION("INDEX(GOOGLEFINANCE(A419, ""open"", DATE(2025,2,3), DATE(2025,2,3)), 2, 2)"),17.44)</f>
        <v>17.440000000000001</v>
      </c>
      <c r="G419" s="8">
        <f ca="1">IFERROR(__xludf.DUMMYFUNCTION("INDEX(GOOGLEFINANCE(A419, ""close"", DATE(2025,2,7), DATE(2025,2,7)), 2, 2)"),17.84)</f>
        <v>17.84</v>
      </c>
      <c r="H419" s="9">
        <f t="shared" ca="1" si="4"/>
        <v>2.2935779816513682</v>
      </c>
      <c r="I419" s="10">
        <f t="shared" ca="1" si="5"/>
        <v>22.935779816513683</v>
      </c>
      <c r="J419" s="10" t="str">
        <f t="shared" si="6"/>
        <v>Put Spread</v>
      </c>
      <c r="K419" s="10" t="str">
        <f t="shared" ca="1" si="7"/>
        <v>Success</v>
      </c>
    </row>
    <row r="420" spans="1:11" ht="16">
      <c r="A420" s="1" t="s">
        <v>439</v>
      </c>
      <c r="B420" s="7" t="s">
        <v>14</v>
      </c>
      <c r="C420" s="8">
        <v>13.56</v>
      </c>
      <c r="D420" s="8" t="s">
        <v>15</v>
      </c>
      <c r="E420" s="8">
        <v>9</v>
      </c>
      <c r="F420" s="8">
        <f ca="1">IFERROR(__xludf.DUMMYFUNCTION("INDEX(GOOGLEFINANCE(A420, ""open"", DATE(2025,2,3), DATE(2025,2,3)), 2, 2)"),11.34)</f>
        <v>11.34</v>
      </c>
      <c r="G420" s="8">
        <f ca="1">IFERROR(__xludf.DUMMYFUNCTION("INDEX(GOOGLEFINANCE(A420, ""close"", DATE(2025,2,7), DATE(2025,2,7)), 2, 2)"),11.87)</f>
        <v>11.87</v>
      </c>
      <c r="H420" s="9">
        <f t="shared" ca="1" si="4"/>
        <v>4.6737213403880009</v>
      </c>
      <c r="I420" s="10">
        <f t="shared" ca="1" si="5"/>
        <v>46.737213403880006</v>
      </c>
      <c r="J420" s="10" t="str">
        <f t="shared" si="6"/>
        <v>Put Spread</v>
      </c>
      <c r="K420" s="10" t="str">
        <f t="shared" ca="1" si="7"/>
        <v>Success</v>
      </c>
    </row>
    <row r="421" spans="1:11" ht="16">
      <c r="A421" s="1" t="s">
        <v>440</v>
      </c>
      <c r="B421" s="7" t="s">
        <v>38</v>
      </c>
      <c r="C421" s="8">
        <v>28.65</v>
      </c>
      <c r="D421" s="8" t="s">
        <v>39</v>
      </c>
      <c r="E421" s="8">
        <v>31.03</v>
      </c>
      <c r="F421" s="8">
        <f ca="1">IFERROR(__xludf.DUMMYFUNCTION("INDEX(GOOGLEFINANCE(A421, ""open"", DATE(2025,2,3), DATE(2025,2,3)), 2, 2)"),29.6)</f>
        <v>29.6</v>
      </c>
      <c r="G421" s="8">
        <f ca="1">IFERROR(__xludf.DUMMYFUNCTION("INDEX(GOOGLEFINANCE(A421, ""close"", DATE(2025,2,7), DATE(2025,2,7)), 2, 2)"),29.3)</f>
        <v>29.3</v>
      </c>
      <c r="H421" s="9">
        <f t="shared" ca="1" si="4"/>
        <v>1.0135135135135158</v>
      </c>
      <c r="I421" s="10">
        <f t="shared" ca="1" si="5"/>
        <v>10.135135135135158</v>
      </c>
      <c r="J421" s="10" t="str">
        <f t="shared" si="6"/>
        <v>Call Spread</v>
      </c>
      <c r="K421" s="10" t="str">
        <f t="shared" ca="1" si="7"/>
        <v>Success</v>
      </c>
    </row>
    <row r="422" spans="1:11" ht="16">
      <c r="A422" s="1" t="s">
        <v>441</v>
      </c>
      <c r="B422" s="7" t="s">
        <v>14</v>
      </c>
      <c r="C422" s="8">
        <v>59.28</v>
      </c>
      <c r="D422" s="8" t="s">
        <v>15</v>
      </c>
      <c r="E422" s="8">
        <v>56.36</v>
      </c>
      <c r="F422" s="8">
        <f ca="1">IFERROR(__xludf.DUMMYFUNCTION("INDEX(GOOGLEFINANCE(A422, ""open"", DATE(2025,2,3), DATE(2025,2,3)), 2, 2)"),56.87)</f>
        <v>56.87</v>
      </c>
      <c r="G422" s="8">
        <f ca="1">IFERROR(__xludf.DUMMYFUNCTION("INDEX(GOOGLEFINANCE(A422, ""close"", DATE(2025,2,7), DATE(2025,2,7)), 2, 2)"),58.5)</f>
        <v>58.5</v>
      </c>
      <c r="H422" s="9">
        <f t="shared" ca="1" si="4"/>
        <v>2.8661860383330446</v>
      </c>
      <c r="I422" s="10">
        <f t="shared" ca="1" si="5"/>
        <v>28.661860383330446</v>
      </c>
      <c r="J422" s="10" t="str">
        <f t="shared" si="6"/>
        <v>Put Spread</v>
      </c>
      <c r="K422" s="10" t="str">
        <f t="shared" ca="1" si="7"/>
        <v>Success</v>
      </c>
    </row>
    <row r="423" spans="1:11" ht="16">
      <c r="A423" s="1" t="s">
        <v>442</v>
      </c>
      <c r="B423" s="7" t="s">
        <v>38</v>
      </c>
      <c r="C423" s="8">
        <v>15.4</v>
      </c>
      <c r="D423" s="8" t="s">
        <v>39</v>
      </c>
      <c r="E423" s="8">
        <v>17.78</v>
      </c>
      <c r="F423" s="8">
        <f ca="1">IFERROR(__xludf.DUMMYFUNCTION("INDEX(GOOGLEFINANCE(A423, ""open"", DATE(2025,2,3), DATE(2025,2,3)), 2, 2)"),16.25)</f>
        <v>16.25</v>
      </c>
      <c r="G423" s="8">
        <f ca="1">IFERROR(__xludf.DUMMYFUNCTION("INDEX(GOOGLEFINANCE(A423, ""close"", DATE(2025,2,7), DATE(2025,2,7)), 2, 2)"),16.48)</f>
        <v>16.48</v>
      </c>
      <c r="H423" s="9">
        <f t="shared" ca="1" si="4"/>
        <v>-1.4153846153846179</v>
      </c>
      <c r="I423" s="10">
        <f t="shared" ca="1" si="5"/>
        <v>-14.15384615384618</v>
      </c>
      <c r="J423" s="10" t="str">
        <f t="shared" si="6"/>
        <v>Call Spread</v>
      </c>
      <c r="K423" s="10" t="str">
        <f t="shared" ca="1" si="7"/>
        <v>Success</v>
      </c>
    </row>
    <row r="424" spans="1:11" ht="16">
      <c r="A424" s="1" t="s">
        <v>443</v>
      </c>
      <c r="B424" s="7" t="s">
        <v>14</v>
      </c>
      <c r="C424" s="8">
        <v>28.54</v>
      </c>
      <c r="D424" s="8" t="s">
        <v>15</v>
      </c>
      <c r="E424" s="8">
        <v>26.42</v>
      </c>
      <c r="F424" s="8">
        <f ca="1">IFERROR(__xludf.DUMMYFUNCTION("INDEX(GOOGLEFINANCE(A424, ""open"", DATE(2025,2,3), DATE(2025,2,3)), 2, 2)"),26.84)</f>
        <v>26.84</v>
      </c>
      <c r="G424" s="8">
        <f ca="1">IFERROR(__xludf.DUMMYFUNCTION("INDEX(GOOGLEFINANCE(A424, ""close"", DATE(2025,2,7), DATE(2025,2,7)), 2, 2)"),27.04)</f>
        <v>27.04</v>
      </c>
      <c r="H424" s="9">
        <f t="shared" ca="1" si="4"/>
        <v>0.74515648286139824</v>
      </c>
      <c r="I424" s="10">
        <f t="shared" ca="1" si="5"/>
        <v>7.4515648286139822</v>
      </c>
      <c r="J424" s="10" t="str">
        <f t="shared" si="6"/>
        <v>Put Spread</v>
      </c>
      <c r="K424" s="10" t="str">
        <f t="shared" ca="1" si="7"/>
        <v>Success</v>
      </c>
    </row>
    <row r="425" spans="1:11" ht="16">
      <c r="A425" s="1" t="s">
        <v>444</v>
      </c>
      <c r="B425" s="7" t="s">
        <v>14</v>
      </c>
      <c r="C425" s="8">
        <v>110.01</v>
      </c>
      <c r="D425" s="8" t="s">
        <v>15</v>
      </c>
      <c r="E425" s="8">
        <v>105.13</v>
      </c>
      <c r="F425" s="8">
        <f ca="1">IFERROR(__xludf.DUMMYFUNCTION("INDEX(GOOGLEFINANCE(A425, ""open"", DATE(2025,2,3), DATE(2025,2,3)), 2, 2)"),105.48)</f>
        <v>105.48</v>
      </c>
      <c r="G425" s="8">
        <f ca="1">IFERROR(__xludf.DUMMYFUNCTION("INDEX(GOOGLEFINANCE(A425, ""close"", DATE(2025,2,7), DATE(2025,2,7)), 2, 2)"),109.04)</f>
        <v>109.04</v>
      </c>
      <c r="H425" s="9">
        <f t="shared" ca="1" si="4"/>
        <v>3.3750474023511585</v>
      </c>
      <c r="I425" s="10">
        <f t="shared" ca="1" si="5"/>
        <v>33.750474023511586</v>
      </c>
      <c r="J425" s="10" t="str">
        <f t="shared" si="6"/>
        <v>Put Spread</v>
      </c>
      <c r="K425" s="10" t="str">
        <f t="shared" ca="1" si="7"/>
        <v>Success</v>
      </c>
    </row>
    <row r="426" spans="1:11" ht="16">
      <c r="A426" s="1" t="s">
        <v>445</v>
      </c>
      <c r="B426" s="7" t="s">
        <v>14</v>
      </c>
      <c r="C426" s="8">
        <v>468.07</v>
      </c>
      <c r="D426" s="8" t="s">
        <v>15</v>
      </c>
      <c r="E426" s="8">
        <v>415.81</v>
      </c>
      <c r="F426" s="8">
        <f ca="1">IFERROR(__xludf.DUMMYFUNCTION("INDEX(GOOGLEFINANCE(A426, ""open"", DATE(2025,2,3), DATE(2025,2,3)), 2, 2)"),435.63)</f>
        <v>435.63</v>
      </c>
      <c r="G426" s="8">
        <f ca="1">IFERROR(__xludf.DUMMYFUNCTION("INDEX(GOOGLEFINANCE(A426, ""close"", DATE(2025,2,7), DATE(2025,2,7)), 2, 2)"),489.53)</f>
        <v>489.53</v>
      </c>
      <c r="H426" s="9">
        <f t="shared" ca="1" si="4"/>
        <v>12.372885246654265</v>
      </c>
      <c r="I426" s="10">
        <f t="shared" ca="1" si="5"/>
        <v>123.72885246654265</v>
      </c>
      <c r="J426" s="10" t="str">
        <f t="shared" si="6"/>
        <v>Put Spread</v>
      </c>
      <c r="K426" s="10" t="str">
        <f t="shared" ca="1" si="7"/>
        <v>Success</v>
      </c>
    </row>
    <row r="427" spans="1:11" ht="16">
      <c r="A427" s="1" t="s">
        <v>446</v>
      </c>
      <c r="B427" s="7" t="s">
        <v>14</v>
      </c>
      <c r="C427" s="8">
        <v>65.39</v>
      </c>
      <c r="D427" s="8" t="s">
        <v>15</v>
      </c>
      <c r="E427" s="8">
        <v>61.57</v>
      </c>
      <c r="F427" s="8">
        <f ca="1">IFERROR(__xludf.DUMMYFUNCTION("INDEX(GOOGLEFINANCE(A427, ""open"", DATE(2025,2,3), DATE(2025,2,3)), 2, 2)"),63.18)</f>
        <v>63.18</v>
      </c>
      <c r="G427" s="8">
        <f ca="1">IFERROR(__xludf.DUMMYFUNCTION("INDEX(GOOGLEFINANCE(A427, ""close"", DATE(2025,2,7), DATE(2025,2,7)), 2, 2)"),63.84)</f>
        <v>63.84</v>
      </c>
      <c r="H427" s="9">
        <f t="shared" ca="1" si="4"/>
        <v>1.0446343779677172</v>
      </c>
      <c r="I427" s="10">
        <f t="shared" ca="1" si="5"/>
        <v>10.446343779677171</v>
      </c>
      <c r="J427" s="10" t="str">
        <f t="shared" si="6"/>
        <v>Put Spread</v>
      </c>
      <c r="K427" s="10" t="str">
        <f t="shared" ca="1" si="7"/>
        <v>Success</v>
      </c>
    </row>
    <row r="428" spans="1:11" ht="16">
      <c r="A428" s="1" t="s">
        <v>447</v>
      </c>
      <c r="B428" s="7" t="s">
        <v>38</v>
      </c>
      <c r="C428" s="8">
        <v>6.69</v>
      </c>
      <c r="D428" s="8" t="s">
        <v>39</v>
      </c>
      <c r="E428" s="8">
        <v>8.09</v>
      </c>
      <c r="F428" s="8">
        <f ca="1">IFERROR(__xludf.DUMMYFUNCTION("INDEX(GOOGLEFINANCE(A428, ""open"", DATE(2025,2,3), DATE(2025,2,3)), 2, 2)"),7.05)</f>
        <v>7.05</v>
      </c>
      <c r="G428" s="8">
        <f ca="1">IFERROR(__xludf.DUMMYFUNCTION("INDEX(GOOGLEFINANCE(A428, ""close"", DATE(2025,2,7), DATE(2025,2,7)), 2, 2)"),7.59)</f>
        <v>7.59</v>
      </c>
      <c r="H428" s="9">
        <f t="shared" ca="1" si="4"/>
        <v>-7.6595744680851077</v>
      </c>
      <c r="I428" s="10">
        <f t="shared" ca="1" si="5"/>
        <v>-76.59574468085107</v>
      </c>
      <c r="J428" s="10" t="str">
        <f t="shared" si="6"/>
        <v>Call Spread</v>
      </c>
      <c r="K428" s="10" t="str">
        <f t="shared" ca="1" si="7"/>
        <v>Success</v>
      </c>
    </row>
    <row r="429" spans="1:11" ht="16">
      <c r="A429" s="1" t="s">
        <v>448</v>
      </c>
      <c r="B429" s="7" t="s">
        <v>14</v>
      </c>
      <c r="C429" s="8">
        <v>63.49</v>
      </c>
      <c r="D429" s="8" t="s">
        <v>15</v>
      </c>
      <c r="E429" s="8">
        <v>59.79</v>
      </c>
      <c r="F429" s="8">
        <f ca="1">IFERROR(__xludf.DUMMYFUNCTION("INDEX(GOOGLEFINANCE(A429, ""open"", DATE(2025,2,3), DATE(2025,2,3)), 2, 2)"),61.38)</f>
        <v>61.38</v>
      </c>
      <c r="G429" s="8">
        <f ca="1">IFERROR(__xludf.DUMMYFUNCTION("INDEX(GOOGLEFINANCE(A429, ""close"", DATE(2025,2,7), DATE(2025,2,7)), 2, 2)"),65)</f>
        <v>65</v>
      </c>
      <c r="H429" s="9">
        <f t="shared" ca="1" si="4"/>
        <v>5.8976865428478291</v>
      </c>
      <c r="I429" s="10">
        <f t="shared" ca="1" si="5"/>
        <v>58.976865428478298</v>
      </c>
      <c r="J429" s="10" t="str">
        <f t="shared" si="6"/>
        <v>Put Spread</v>
      </c>
      <c r="K429" s="10" t="str">
        <f t="shared" ca="1" si="7"/>
        <v>Success</v>
      </c>
    </row>
    <row r="430" spans="1:11" ht="16">
      <c r="A430" s="1" t="s">
        <v>449</v>
      </c>
      <c r="B430" s="7" t="s">
        <v>38</v>
      </c>
      <c r="C430" s="8">
        <v>61.77</v>
      </c>
      <c r="D430" s="8" t="s">
        <v>39</v>
      </c>
      <c r="E430" s="8">
        <v>66.55</v>
      </c>
      <c r="F430" s="8">
        <f ca="1">IFERROR(__xludf.DUMMYFUNCTION("INDEX(GOOGLEFINANCE(A430, ""open"", DATE(2025,2,3), DATE(2025,2,3)), 2, 2)"),62.3)</f>
        <v>62.3</v>
      </c>
      <c r="G430" s="8">
        <f ca="1">IFERROR(__xludf.DUMMYFUNCTION("INDEX(GOOGLEFINANCE(A430, ""close"", DATE(2025,2,7), DATE(2025,2,7)), 2, 2)"),64.63)</f>
        <v>64.63</v>
      </c>
      <c r="H430" s="9">
        <f t="shared" ca="1" si="4"/>
        <v>-3.7399678972712653</v>
      </c>
      <c r="I430" s="10">
        <f t="shared" ca="1" si="5"/>
        <v>-37.399678972712657</v>
      </c>
      <c r="J430" s="10" t="str">
        <f t="shared" si="6"/>
        <v>Call Spread</v>
      </c>
      <c r="K430" s="10" t="str">
        <f t="shared" ca="1" si="7"/>
        <v>Success</v>
      </c>
    </row>
    <row r="431" spans="1:11" ht="16">
      <c r="A431" s="1" t="s">
        <v>450</v>
      </c>
      <c r="B431" s="7" t="s">
        <v>14</v>
      </c>
      <c r="C431" s="8">
        <v>14.7</v>
      </c>
      <c r="D431" s="8" t="s">
        <v>15</v>
      </c>
      <c r="E431" s="8">
        <v>11.72</v>
      </c>
      <c r="F431" s="8">
        <f ca="1">IFERROR(__xludf.DUMMYFUNCTION("INDEX(GOOGLEFINANCE(A431, ""open"", DATE(2025,2,3), DATE(2025,2,3)), 2, 2)"),12.78)</f>
        <v>12.78</v>
      </c>
      <c r="G431" s="8">
        <f ca="1">IFERROR(__xludf.DUMMYFUNCTION("INDEX(GOOGLEFINANCE(A431, ""close"", DATE(2025,2,7), DATE(2025,2,7)), 2, 2)"),12.08)</f>
        <v>12.08</v>
      </c>
      <c r="H431" s="9">
        <f t="shared" ca="1" si="4"/>
        <v>-5.4773082942096973</v>
      </c>
      <c r="I431" s="10">
        <f t="shared" ca="1" si="5"/>
        <v>-54.77308294209697</v>
      </c>
      <c r="J431" s="10" t="str">
        <f t="shared" si="6"/>
        <v>Put Spread</v>
      </c>
      <c r="K431" s="10" t="str">
        <f t="shared" ca="1" si="7"/>
        <v>Success</v>
      </c>
    </row>
    <row r="432" spans="1:11" ht="16">
      <c r="A432" s="1" t="s">
        <v>451</v>
      </c>
      <c r="B432" s="7" t="s">
        <v>14</v>
      </c>
      <c r="C432" s="8">
        <v>22.35</v>
      </c>
      <c r="D432" s="8" t="s">
        <v>15</v>
      </c>
      <c r="E432" s="8">
        <v>20.23</v>
      </c>
      <c r="F432" s="8">
        <f ca="1">IFERROR(__xludf.DUMMYFUNCTION("INDEX(GOOGLEFINANCE(A432, ""open"", DATE(2025,2,3), DATE(2025,2,3)), 2, 2)"),21.18)</f>
        <v>21.18</v>
      </c>
      <c r="G432" s="8">
        <f ca="1">IFERROR(__xludf.DUMMYFUNCTION("INDEX(GOOGLEFINANCE(A432, ""close"", DATE(2025,2,7), DATE(2025,2,7)), 2, 2)"),20.18)</f>
        <v>20.18</v>
      </c>
      <c r="H432" s="9">
        <f t="shared" ca="1" si="4"/>
        <v>-4.7214353163361666</v>
      </c>
      <c r="I432" s="10">
        <f t="shared" ca="1" si="5"/>
        <v>-47.214353163361665</v>
      </c>
      <c r="J432" s="10" t="str">
        <f t="shared" si="6"/>
        <v>Put Spread</v>
      </c>
      <c r="K432" s="10" t="str">
        <f t="shared" ca="1" si="7"/>
        <v>No</v>
      </c>
    </row>
    <row r="433" spans="1:11" ht="16">
      <c r="A433" s="1" t="s">
        <v>452</v>
      </c>
      <c r="B433" s="7" t="s">
        <v>14</v>
      </c>
      <c r="C433" s="8">
        <v>32.549999999999997</v>
      </c>
      <c r="D433" s="8" t="s">
        <v>15</v>
      </c>
      <c r="E433" s="8">
        <v>30.01</v>
      </c>
      <c r="F433" s="8">
        <f ca="1">IFERROR(__xludf.DUMMYFUNCTION("INDEX(GOOGLEFINANCE(A433, ""open"", DATE(2025,2,3), DATE(2025,2,3)), 2, 2)"),30.41)</f>
        <v>30.41</v>
      </c>
      <c r="G433" s="8">
        <f ca="1">IFERROR(__xludf.DUMMYFUNCTION("INDEX(GOOGLEFINANCE(A433, ""close"", DATE(2025,2,7), DATE(2025,2,7)), 2, 2)"),32.4)</f>
        <v>32.4</v>
      </c>
      <c r="H433" s="9">
        <f t="shared" ca="1" si="4"/>
        <v>6.543900032883915</v>
      </c>
      <c r="I433" s="10">
        <f t="shared" ca="1" si="5"/>
        <v>65.439000328839143</v>
      </c>
      <c r="J433" s="10" t="str">
        <f t="shared" si="6"/>
        <v>Put Spread</v>
      </c>
      <c r="K433" s="10" t="str">
        <f t="shared" ca="1" si="7"/>
        <v>Success</v>
      </c>
    </row>
    <row r="434" spans="1:11" ht="16">
      <c r="A434" s="1" t="s">
        <v>453</v>
      </c>
      <c r="B434" s="7" t="s">
        <v>14</v>
      </c>
      <c r="C434" s="8">
        <v>7.36</v>
      </c>
      <c r="D434" s="8" t="s">
        <v>15</v>
      </c>
      <c r="E434" s="8">
        <v>5.82</v>
      </c>
      <c r="F434" s="8">
        <f ca="1">IFERROR(__xludf.DUMMYFUNCTION("INDEX(GOOGLEFINANCE(A434, ""open"", DATE(2025,2,3), DATE(2025,2,3)), 2, 2)"),7.01)</f>
        <v>7.01</v>
      </c>
      <c r="G434" s="8">
        <f ca="1">IFERROR(__xludf.DUMMYFUNCTION("INDEX(GOOGLEFINANCE(A434, ""close"", DATE(2025,2,7), DATE(2025,2,7)), 2, 2)"),6.84)</f>
        <v>6.84</v>
      </c>
      <c r="H434" s="9">
        <f t="shared" ca="1" si="4"/>
        <v>-2.4251069900142643</v>
      </c>
      <c r="I434" s="10">
        <f t="shared" ca="1" si="5"/>
        <v>-24.251069900142642</v>
      </c>
      <c r="J434" s="10" t="str">
        <f t="shared" si="6"/>
        <v>Put Spread</v>
      </c>
      <c r="K434" s="10" t="str">
        <f t="shared" ca="1" si="7"/>
        <v>Success</v>
      </c>
    </row>
    <row r="435" spans="1:11" ht="16">
      <c r="A435" s="1" t="s">
        <v>454</v>
      </c>
      <c r="B435" s="7" t="s">
        <v>14</v>
      </c>
      <c r="C435" s="8">
        <v>106.37</v>
      </c>
      <c r="D435" s="8" t="s">
        <v>15</v>
      </c>
      <c r="E435" s="8">
        <v>84.99</v>
      </c>
      <c r="F435" s="8">
        <f ca="1">IFERROR(__xludf.DUMMYFUNCTION("INDEX(GOOGLEFINANCE(A435, ""open"", DATE(2025,2,3), DATE(2025,2,3)), 2, 2)"),90)</f>
        <v>90</v>
      </c>
      <c r="G435" s="8">
        <f ca="1">IFERROR(__xludf.DUMMYFUNCTION("INDEX(GOOGLEFINANCE(A435, ""close"", DATE(2025,2,7), DATE(2025,2,7)), 2, 2)"),90.94)</f>
        <v>90.94</v>
      </c>
      <c r="H435" s="9">
        <f t="shared" ca="1" si="4"/>
        <v>1.0444444444444418</v>
      </c>
      <c r="I435" s="10">
        <f t="shared" ca="1" si="5"/>
        <v>10.444444444444418</v>
      </c>
      <c r="J435" s="10" t="str">
        <f t="shared" si="6"/>
        <v>Put Spread</v>
      </c>
      <c r="K435" s="10" t="str">
        <f t="shared" ca="1" si="7"/>
        <v>Success</v>
      </c>
    </row>
    <row r="436" spans="1:11" ht="16">
      <c r="A436" s="1" t="s">
        <v>455</v>
      </c>
      <c r="B436" s="7" t="s">
        <v>14</v>
      </c>
      <c r="C436" s="8">
        <v>3.23</v>
      </c>
      <c r="D436" s="8" t="s">
        <v>15</v>
      </c>
      <c r="E436" s="8">
        <v>2.77</v>
      </c>
      <c r="F436" s="8">
        <f ca="1">IFERROR(__xludf.DUMMYFUNCTION("INDEX(GOOGLEFINANCE(A436, ""open"", DATE(2025,2,3), DATE(2025,2,3)), 2, 2)"),2.88)</f>
        <v>2.88</v>
      </c>
      <c r="G436" s="8">
        <f ca="1">IFERROR(__xludf.DUMMYFUNCTION("INDEX(GOOGLEFINANCE(A436, ""close"", DATE(2025,2,7), DATE(2025,2,7)), 2, 2)"),3.03)</f>
        <v>3.03</v>
      </c>
      <c r="H436" s="9">
        <f t="shared" ca="1" si="4"/>
        <v>5.2083333333333304</v>
      </c>
      <c r="I436" s="10">
        <f t="shared" ca="1" si="5"/>
        <v>52.0833333333333</v>
      </c>
      <c r="J436" s="10" t="str">
        <f t="shared" si="6"/>
        <v>Put Spread</v>
      </c>
      <c r="K436" s="10" t="str">
        <f t="shared" ca="1" si="7"/>
        <v>Success</v>
      </c>
    </row>
    <row r="437" spans="1:11" ht="16">
      <c r="A437" s="1" t="s">
        <v>456</v>
      </c>
      <c r="B437" s="7" t="s">
        <v>14</v>
      </c>
      <c r="C437" s="8">
        <v>7.31</v>
      </c>
      <c r="D437" s="8" t="s">
        <v>15</v>
      </c>
      <c r="E437" s="8">
        <v>4.1900000000000004</v>
      </c>
      <c r="F437" s="8">
        <f ca="1">IFERROR(__xludf.DUMMYFUNCTION("INDEX(GOOGLEFINANCE(A437, ""open"", DATE(2025,2,3), DATE(2025,2,3)), 2, 2)"),5.42)</f>
        <v>5.42</v>
      </c>
      <c r="G437" s="8">
        <f ca="1">IFERROR(__xludf.DUMMYFUNCTION("INDEX(GOOGLEFINANCE(A437, ""close"", DATE(2025,2,7), DATE(2025,2,7)), 2, 2)"),5.44)</f>
        <v>5.44</v>
      </c>
      <c r="H437" s="9">
        <f t="shared" ca="1" si="4"/>
        <v>0.36900369003690892</v>
      </c>
      <c r="I437" s="10">
        <f t="shared" ca="1" si="5"/>
        <v>3.6900369003690887</v>
      </c>
      <c r="J437" s="10" t="str">
        <f t="shared" si="6"/>
        <v>Put Spread</v>
      </c>
      <c r="K437" s="10" t="str">
        <f t="shared" ca="1" si="7"/>
        <v>Success</v>
      </c>
    </row>
    <row r="438" spans="1:11" ht="16">
      <c r="A438" s="1" t="s">
        <v>457</v>
      </c>
      <c r="B438" s="7" t="s">
        <v>38</v>
      </c>
      <c r="C438" s="8">
        <v>2.4</v>
      </c>
      <c r="D438" s="8" t="s">
        <v>39</v>
      </c>
      <c r="E438" s="8">
        <v>3.12</v>
      </c>
      <c r="F438" s="8">
        <f ca="1">IFERROR(__xludf.DUMMYFUNCTION("INDEX(GOOGLEFINANCE(A438, ""open"", DATE(2025,2,3), DATE(2025,2,3)), 2, 2)"),2.67)</f>
        <v>2.67</v>
      </c>
      <c r="G438" s="8">
        <f ca="1">IFERROR(__xludf.DUMMYFUNCTION("INDEX(GOOGLEFINANCE(A438, ""close"", DATE(2025,2,7), DATE(2025,2,7)), 2, 2)"),2.83)</f>
        <v>2.83</v>
      </c>
      <c r="H438" s="9">
        <f t="shared" ca="1" si="4"/>
        <v>-5.9925093632958859</v>
      </c>
      <c r="I438" s="10">
        <f t="shared" ca="1" si="5"/>
        <v>-59.925093632958863</v>
      </c>
      <c r="J438" s="10" t="str">
        <f t="shared" si="6"/>
        <v>Call Spread</v>
      </c>
      <c r="K438" s="10" t="str">
        <f t="shared" ca="1" si="7"/>
        <v>Success</v>
      </c>
    </row>
    <row r="439" spans="1:11" ht="16">
      <c r="A439" s="1" t="s">
        <v>458</v>
      </c>
      <c r="B439" s="7" t="s">
        <v>14</v>
      </c>
      <c r="C439" s="8">
        <v>138.24</v>
      </c>
      <c r="D439" s="8" t="s">
        <v>15</v>
      </c>
      <c r="E439" s="8">
        <v>124.24</v>
      </c>
      <c r="F439" s="8">
        <f ca="1">IFERROR(__xludf.DUMMYFUNCTION("INDEX(GOOGLEFINANCE(A439, ""open"", DATE(2025,2,3), DATE(2025,2,3)), 2, 2)"),128.6)</f>
        <v>128.6</v>
      </c>
      <c r="G439" s="8">
        <f ca="1">IFERROR(__xludf.DUMMYFUNCTION("INDEX(GOOGLEFINANCE(A439, ""close"", DATE(2025,2,7), DATE(2025,2,7)), 2, 2)"),121.94)</f>
        <v>121.94</v>
      </c>
      <c r="H439" s="9">
        <f t="shared" ca="1" si="4"/>
        <v>-5.1788491446345226</v>
      </c>
      <c r="I439" s="10">
        <f t="shared" ca="1" si="5"/>
        <v>-51.788491446345226</v>
      </c>
      <c r="J439" s="10" t="str">
        <f t="shared" si="6"/>
        <v>Put Spread</v>
      </c>
      <c r="K439" s="10" t="str">
        <f t="shared" ca="1" si="7"/>
        <v>No</v>
      </c>
    </row>
    <row r="440" spans="1:11" ht="16">
      <c r="A440" s="1" t="s">
        <v>459</v>
      </c>
      <c r="B440" s="7" t="s">
        <v>14</v>
      </c>
      <c r="C440" s="8">
        <v>25.35</v>
      </c>
      <c r="D440" s="8" t="s">
        <v>15</v>
      </c>
      <c r="E440" s="8">
        <v>21.49</v>
      </c>
      <c r="F440" s="8">
        <f ca="1">IFERROR(__xludf.DUMMYFUNCTION("INDEX(GOOGLEFINANCE(A440, ""open"", DATE(2025,2,3), DATE(2025,2,3)), 2, 2)"),22.17)</f>
        <v>22.17</v>
      </c>
      <c r="G440" s="8">
        <f ca="1">IFERROR(__xludf.DUMMYFUNCTION("INDEX(GOOGLEFINANCE(A440, ""close"", DATE(2025,2,7), DATE(2025,2,7)), 2, 2)"),26.02)</f>
        <v>26.02</v>
      </c>
      <c r="H440" s="9">
        <f t="shared" ca="1" si="4"/>
        <v>17.365809652683794</v>
      </c>
      <c r="I440" s="10">
        <f t="shared" ca="1" si="5"/>
        <v>173.65809652683794</v>
      </c>
      <c r="J440" s="10" t="str">
        <f t="shared" si="6"/>
        <v>Put Spread</v>
      </c>
      <c r="K440" s="10" t="str">
        <f t="shared" ca="1" si="7"/>
        <v>Success</v>
      </c>
    </row>
    <row r="441" spans="1:11" ht="16">
      <c r="A441" s="1" t="s">
        <v>460</v>
      </c>
      <c r="B441" s="7" t="s">
        <v>14</v>
      </c>
      <c r="C441" s="8">
        <v>1.35</v>
      </c>
      <c r="D441" s="8" t="s">
        <v>15</v>
      </c>
      <c r="E441" s="8">
        <v>0.67</v>
      </c>
      <c r="F441" s="8">
        <f ca="1">IFERROR(__xludf.DUMMYFUNCTION("INDEX(GOOGLEFINANCE(A441, ""open"", DATE(2025,2,3), DATE(2025,2,3)), 2, 2)"),1)</f>
        <v>1</v>
      </c>
      <c r="G441" s="8">
        <f ca="1">IFERROR(__xludf.DUMMYFUNCTION("INDEX(GOOGLEFINANCE(A441, ""close"", DATE(2025,2,7), DATE(2025,2,7)), 2, 2)"),0.85)</f>
        <v>0.85</v>
      </c>
      <c r="H441" s="9">
        <f t="shared" ca="1" si="4"/>
        <v>-15.000000000000002</v>
      </c>
      <c r="I441" s="10">
        <f t="shared" ca="1" si="5"/>
        <v>-150.00000000000003</v>
      </c>
      <c r="J441" s="10" t="str">
        <f t="shared" si="6"/>
        <v>Put Spread</v>
      </c>
      <c r="K441" s="10" t="str">
        <f t="shared" ca="1" si="7"/>
        <v>Success</v>
      </c>
    </row>
    <row r="442" spans="1:11" ht="16">
      <c r="A442" s="1" t="s">
        <v>461</v>
      </c>
      <c r="B442" s="7" t="s">
        <v>14</v>
      </c>
      <c r="C442" s="8">
        <v>459.22</v>
      </c>
      <c r="D442" s="8" t="s">
        <v>15</v>
      </c>
      <c r="E442" s="8">
        <v>433.02</v>
      </c>
      <c r="F442" s="8">
        <f ca="1">IFERROR(__xludf.DUMMYFUNCTION("INDEX(GOOGLEFINANCE(A442, ""open"", DATE(2025,2,3), DATE(2025,2,3)), 2, 2)"),445.03)</f>
        <v>445.03</v>
      </c>
      <c r="G442" s="8">
        <f ca="1">IFERROR(__xludf.DUMMYFUNCTION("INDEX(GOOGLEFINANCE(A442, ""close"", DATE(2025,2,7), DATE(2025,2,7)), 2, 2)"),455.05)</f>
        <v>455.05</v>
      </c>
      <c r="H442" s="9">
        <f t="shared" ca="1" si="4"/>
        <v>2.2515336044761116</v>
      </c>
      <c r="I442" s="10">
        <f t="shared" ca="1" si="5"/>
        <v>22.515336044761117</v>
      </c>
      <c r="J442" s="10" t="str">
        <f t="shared" si="6"/>
        <v>Put Spread</v>
      </c>
      <c r="K442" s="10" t="str">
        <f t="shared" ca="1" si="7"/>
        <v>Success</v>
      </c>
    </row>
    <row r="443" spans="1:11" ht="16">
      <c r="A443" s="1" t="s">
        <v>462</v>
      </c>
      <c r="B443" s="7" t="s">
        <v>14</v>
      </c>
      <c r="C443" s="8">
        <v>92.95</v>
      </c>
      <c r="D443" s="8" t="s">
        <v>15</v>
      </c>
      <c r="E443" s="8">
        <v>77.17</v>
      </c>
      <c r="F443" s="8">
        <f ca="1">IFERROR(__xludf.DUMMYFUNCTION("INDEX(GOOGLEFINANCE(A443, ""open"", DATE(2025,2,3), DATE(2025,2,3)), 2, 2)"),80.18)</f>
        <v>80.180000000000007</v>
      </c>
      <c r="G443" s="8">
        <f ca="1">IFERROR(__xludf.DUMMYFUNCTION("INDEX(GOOGLEFINANCE(A443, ""close"", DATE(2025,2,7), DATE(2025,2,7)), 2, 2)"),85.9)</f>
        <v>85.9</v>
      </c>
      <c r="H443" s="9">
        <f t="shared" ca="1" si="4"/>
        <v>7.1339486156148642</v>
      </c>
      <c r="I443" s="10">
        <f t="shared" ca="1" si="5"/>
        <v>71.339486156148638</v>
      </c>
      <c r="J443" s="10" t="str">
        <f t="shared" si="6"/>
        <v>Put Spread</v>
      </c>
      <c r="K443" s="10" t="str">
        <f t="shared" ca="1" si="7"/>
        <v>Success</v>
      </c>
    </row>
    <row r="444" spans="1:11" ht="16">
      <c r="A444" s="1" t="s">
        <v>463</v>
      </c>
      <c r="B444" s="7" t="s">
        <v>14</v>
      </c>
      <c r="C444" s="8">
        <v>847.79</v>
      </c>
      <c r="D444" s="8" t="s">
        <v>15</v>
      </c>
      <c r="E444" s="8">
        <v>774.37</v>
      </c>
      <c r="F444" s="8">
        <f ca="1">IFERROR(__xludf.DUMMYFUNCTION("INDEX(GOOGLEFINANCE(A444, ""open"", DATE(2025,2,3), DATE(2025,2,3)), 2, 2)"),804.27)</f>
        <v>804.27</v>
      </c>
      <c r="G444" s="8">
        <f ca="1">IFERROR(__xludf.DUMMYFUNCTION("INDEX(GOOGLEFINANCE(A444, ""close"", DATE(2025,2,7), DATE(2025,2,7)), 2, 2)"),878.31)</f>
        <v>878.31</v>
      </c>
      <c r="H444" s="9">
        <f t="shared" ca="1" si="4"/>
        <v>9.2058637024879673</v>
      </c>
      <c r="I444" s="10">
        <f t="shared" ca="1" si="5"/>
        <v>92.058637024879687</v>
      </c>
      <c r="J444" s="10" t="str">
        <f t="shared" si="6"/>
        <v>Put Spread</v>
      </c>
      <c r="K444" s="10" t="str">
        <f t="shared" ca="1" si="7"/>
        <v>Success</v>
      </c>
    </row>
    <row r="445" spans="1:11" ht="16">
      <c r="A445" s="1" t="s">
        <v>464</v>
      </c>
      <c r="B445" s="7" t="s">
        <v>14</v>
      </c>
      <c r="C445" s="8">
        <v>37.97</v>
      </c>
      <c r="D445" s="8" t="s">
        <v>15</v>
      </c>
      <c r="E445" s="8">
        <v>28.51</v>
      </c>
      <c r="F445" s="8">
        <f ca="1">IFERROR(__xludf.DUMMYFUNCTION("INDEX(GOOGLEFINANCE(A445, ""open"", DATE(2025,2,3), DATE(2025,2,3)), 2, 2)"),31.7)</f>
        <v>31.7</v>
      </c>
      <c r="G445" s="8">
        <f ca="1">IFERROR(__xludf.DUMMYFUNCTION("INDEX(GOOGLEFINANCE(A445, ""close"", DATE(2025,2,7), DATE(2025,2,7)), 2, 2)"),36.73)</f>
        <v>36.729999999999997</v>
      </c>
      <c r="H445" s="9">
        <f t="shared" ca="1" si="4"/>
        <v>15.867507886435325</v>
      </c>
      <c r="I445" s="10">
        <f t="shared" ca="1" si="5"/>
        <v>158.67507886435325</v>
      </c>
      <c r="J445" s="10" t="str">
        <f t="shared" si="6"/>
        <v>Put Spread</v>
      </c>
      <c r="K445" s="10" t="str">
        <f t="shared" ca="1" si="7"/>
        <v>Success</v>
      </c>
    </row>
    <row r="446" spans="1:11" ht="16">
      <c r="A446" s="1" t="s">
        <v>465</v>
      </c>
      <c r="B446" s="7" t="s">
        <v>38</v>
      </c>
      <c r="C446" s="8">
        <v>450.58</v>
      </c>
      <c r="D446" s="8" t="s">
        <v>39</v>
      </c>
      <c r="E446" s="8">
        <v>475.32</v>
      </c>
      <c r="F446" s="8">
        <f ca="1">IFERROR(__xludf.DUMMYFUNCTION("INDEX(GOOGLEFINANCE(A446, ""open"", DATE(2025,2,3), DATE(2025,2,3)), 2, 2)"),458.8)</f>
        <v>458.8</v>
      </c>
      <c r="G446" s="8">
        <f ca="1">IFERROR(__xludf.DUMMYFUNCTION("INDEX(GOOGLEFINANCE(A446, ""close"", DATE(2025,2,7), DATE(2025,2,7)), 2, 2)"),444.39)</f>
        <v>444.39</v>
      </c>
      <c r="H446" s="9">
        <f t="shared" ca="1" si="4"/>
        <v>3.1408020924150009</v>
      </c>
      <c r="I446" s="10">
        <f t="shared" ca="1" si="5"/>
        <v>31.408020924150009</v>
      </c>
      <c r="J446" s="10" t="str">
        <f t="shared" si="6"/>
        <v>Call Spread</v>
      </c>
      <c r="K446" s="10" t="str">
        <f t="shared" ca="1" si="7"/>
        <v>Success</v>
      </c>
    </row>
    <row r="447" spans="1:11" ht="16">
      <c r="A447" s="1" t="s">
        <v>466</v>
      </c>
      <c r="B447" s="7" t="s">
        <v>14</v>
      </c>
      <c r="C447" s="8">
        <v>36.82</v>
      </c>
      <c r="D447" s="8" t="s">
        <v>15</v>
      </c>
      <c r="E447" s="8">
        <v>33.5</v>
      </c>
      <c r="F447" s="8">
        <f ca="1">IFERROR(__xludf.DUMMYFUNCTION("INDEX(GOOGLEFINANCE(A447, ""open"", DATE(2025,2,3), DATE(2025,2,3)), 2, 2)"),33.79)</f>
        <v>33.79</v>
      </c>
      <c r="G447" s="8">
        <f ca="1">IFERROR(__xludf.DUMMYFUNCTION("INDEX(GOOGLEFINANCE(A447, ""close"", DATE(2025,2,7), DATE(2025,2,7)), 2, 2)"),37.04)</f>
        <v>37.04</v>
      </c>
      <c r="H447" s="9">
        <f t="shared" ca="1" si="4"/>
        <v>9.6182302456348037</v>
      </c>
      <c r="I447" s="10">
        <f t="shared" ca="1" si="5"/>
        <v>96.18230245634804</v>
      </c>
      <c r="J447" s="10" t="str">
        <f t="shared" si="6"/>
        <v>Put Spread</v>
      </c>
      <c r="K447" s="10" t="str">
        <f t="shared" ca="1" si="7"/>
        <v>Success</v>
      </c>
    </row>
    <row r="448" spans="1:11" ht="16">
      <c r="A448" s="1" t="s">
        <v>467</v>
      </c>
      <c r="B448" s="7" t="s">
        <v>14</v>
      </c>
      <c r="C448" s="8">
        <v>232.48</v>
      </c>
      <c r="D448" s="8" t="s">
        <v>15</v>
      </c>
      <c r="E448" s="8">
        <v>214.82</v>
      </c>
      <c r="F448" s="8">
        <f ca="1">IFERROR(__xludf.DUMMYFUNCTION("INDEX(GOOGLEFINANCE(A448, ""open"", DATE(2025,2,3), DATE(2025,2,3)), 2, 2)"),222.9)</f>
        <v>222.9</v>
      </c>
      <c r="G448" s="8">
        <f ca="1">IFERROR(__xludf.DUMMYFUNCTION("INDEX(GOOGLEFINANCE(A448, ""close"", DATE(2025,2,7), DATE(2025,2,7)), 2, 2)"),217.47)</f>
        <v>217.47</v>
      </c>
      <c r="H448" s="9">
        <f t="shared" ca="1" si="4"/>
        <v>-2.4360699865410527</v>
      </c>
      <c r="I448" s="10">
        <f t="shared" ca="1" si="5"/>
        <v>-24.360699865410524</v>
      </c>
      <c r="J448" s="10" t="str">
        <f t="shared" si="6"/>
        <v>Put Spread</v>
      </c>
      <c r="K448" s="10" t="str">
        <f t="shared" ca="1" si="7"/>
        <v>Success</v>
      </c>
    </row>
    <row r="449" spans="1:11" ht="16">
      <c r="A449" s="1" t="s">
        <v>468</v>
      </c>
      <c r="B449" s="7" t="s">
        <v>14</v>
      </c>
      <c r="C449" s="8">
        <v>100.72</v>
      </c>
      <c r="D449" s="8" t="s">
        <v>15</v>
      </c>
      <c r="E449" s="8">
        <v>84.3</v>
      </c>
      <c r="F449" s="8">
        <f ca="1">IFERROR(__xludf.DUMMYFUNCTION("INDEX(GOOGLEFINANCE(A449, ""open"", DATE(2025,2,3), DATE(2025,2,3)), 2, 2)"),90)</f>
        <v>90</v>
      </c>
      <c r="G449" s="8">
        <f ca="1">IFERROR(__xludf.DUMMYFUNCTION("INDEX(GOOGLEFINANCE(A449, ""close"", DATE(2025,2,7), DATE(2025,2,7)), 2, 2)"),88.71)</f>
        <v>88.71</v>
      </c>
      <c r="H449" s="9">
        <f t="shared" ca="1" si="4"/>
        <v>-1.4333333333333402</v>
      </c>
      <c r="I449" s="10">
        <f t="shared" ca="1" si="5"/>
        <v>-14.333333333333403</v>
      </c>
      <c r="J449" s="10" t="str">
        <f t="shared" si="6"/>
        <v>Put Spread</v>
      </c>
      <c r="K449" s="10" t="str">
        <f t="shared" ca="1" si="7"/>
        <v>Success</v>
      </c>
    </row>
    <row r="450" spans="1:11" ht="16">
      <c r="A450" s="1" t="s">
        <v>469</v>
      </c>
      <c r="B450" s="7" t="s">
        <v>14</v>
      </c>
      <c r="C450" s="8">
        <v>101.07</v>
      </c>
      <c r="D450" s="8" t="s">
        <v>15</v>
      </c>
      <c r="E450" s="8">
        <v>93.77</v>
      </c>
      <c r="F450" s="8">
        <f ca="1">IFERROR(__xludf.DUMMYFUNCTION("INDEX(GOOGLEFINANCE(A450, ""open"", DATE(2025,2,3), DATE(2025,2,3)), 2, 2)"),96.6)</f>
        <v>96.6</v>
      </c>
      <c r="G450" s="8">
        <f ca="1">IFERROR(__xludf.DUMMYFUNCTION("INDEX(GOOGLEFINANCE(A450, ""close"", DATE(2025,2,7), DATE(2025,2,7)), 2, 2)"),98.63)</f>
        <v>98.63</v>
      </c>
      <c r="H450" s="9">
        <f t="shared" ca="1" si="4"/>
        <v>2.1014492753623202</v>
      </c>
      <c r="I450" s="10">
        <f t="shared" ca="1" si="5"/>
        <v>21.014492753623202</v>
      </c>
      <c r="J450" s="10" t="str">
        <f t="shared" si="6"/>
        <v>Put Spread</v>
      </c>
      <c r="K450" s="10" t="str">
        <f t="shared" ca="1" si="7"/>
        <v>Success</v>
      </c>
    </row>
    <row r="451" spans="1:11" ht="16">
      <c r="A451" s="1" t="s">
        <v>470</v>
      </c>
      <c r="B451" s="7" t="s">
        <v>14</v>
      </c>
      <c r="C451" s="8">
        <v>27.25</v>
      </c>
      <c r="D451" s="8" t="s">
        <v>15</v>
      </c>
      <c r="E451" s="8">
        <v>23.87</v>
      </c>
      <c r="F451" s="8">
        <f ca="1">IFERROR(__xludf.DUMMYFUNCTION("INDEX(GOOGLEFINANCE(A451, ""open"", DATE(2025,2,3), DATE(2025,2,3)), 2, 2)"),24.88)</f>
        <v>24.88</v>
      </c>
      <c r="G451" s="8">
        <f ca="1">IFERROR(__xludf.DUMMYFUNCTION("INDEX(GOOGLEFINANCE(A451, ""close"", DATE(2025,2,7), DATE(2025,2,7)), 2, 2)"),22.3)</f>
        <v>22.3</v>
      </c>
      <c r="H451" s="9">
        <f t="shared" ca="1" si="4"/>
        <v>-10.369774919614141</v>
      </c>
      <c r="I451" s="10">
        <f t="shared" ca="1" si="5"/>
        <v>-103.69774919614142</v>
      </c>
      <c r="J451" s="10" t="str">
        <f t="shared" si="6"/>
        <v>Put Spread</v>
      </c>
      <c r="K451" s="10" t="str">
        <f t="shared" ca="1" si="7"/>
        <v>No</v>
      </c>
    </row>
    <row r="452" spans="1:11" ht="16">
      <c r="A452" s="1" t="s">
        <v>471</v>
      </c>
      <c r="B452" s="7" t="s">
        <v>14</v>
      </c>
      <c r="C452" s="8">
        <v>269.2</v>
      </c>
      <c r="D452" s="8" t="s">
        <v>15</v>
      </c>
      <c r="E452" s="8">
        <v>250.88</v>
      </c>
      <c r="F452" s="8">
        <f ca="1">IFERROR(__xludf.DUMMYFUNCTION("INDEX(GOOGLEFINANCE(A452, ""open"", DATE(2025,2,3), DATE(2025,2,3)), 2, 2)"),256.04)</f>
        <v>256.04000000000002</v>
      </c>
      <c r="G452" s="8">
        <f ca="1">IFERROR(__xludf.DUMMYFUNCTION("INDEX(GOOGLEFINANCE(A452, ""close"", DATE(2025,2,7), DATE(2025,2,7)), 2, 2)"),251.94)</f>
        <v>251.94</v>
      </c>
      <c r="H452" s="9">
        <f t="shared" ca="1" si="4"/>
        <v>-1.6013122949539222</v>
      </c>
      <c r="I452" s="10">
        <f t="shared" ca="1" si="5"/>
        <v>-16.013122949539223</v>
      </c>
      <c r="J452" s="10" t="str">
        <f t="shared" si="6"/>
        <v>Put Spread</v>
      </c>
      <c r="K452" s="10" t="str">
        <f t="shared" ca="1" si="7"/>
        <v>Success</v>
      </c>
    </row>
    <row r="453" spans="1:11" ht="16">
      <c r="A453" s="1" t="s">
        <v>472</v>
      </c>
      <c r="B453" s="7" t="s">
        <v>14</v>
      </c>
      <c r="C453" s="8">
        <v>380.54</v>
      </c>
      <c r="D453" s="8" t="s">
        <v>15</v>
      </c>
      <c r="E453" s="8">
        <v>353.24</v>
      </c>
      <c r="F453" s="8">
        <f ca="1">IFERROR(__xludf.DUMMYFUNCTION("INDEX(GOOGLEFINANCE(A453, ""open"", DATE(2025,2,3), DATE(2025,2,3)), 2, 2)"),356.59)</f>
        <v>356.59</v>
      </c>
      <c r="G453" s="8">
        <f ca="1">IFERROR(__xludf.DUMMYFUNCTION("INDEX(GOOGLEFINANCE(A453, ""close"", DATE(2025,2,7), DATE(2025,2,7)), 2, 2)"),369.14)</f>
        <v>369.14</v>
      </c>
      <c r="H453" s="9">
        <f t="shared" ca="1" si="4"/>
        <v>3.5194481056675766</v>
      </c>
      <c r="I453" s="10">
        <f t="shared" ca="1" si="5"/>
        <v>35.19448105667577</v>
      </c>
      <c r="J453" s="10" t="str">
        <f t="shared" si="6"/>
        <v>Put Spread</v>
      </c>
      <c r="K453" s="10" t="str">
        <f t="shared" ca="1" si="7"/>
        <v>Success</v>
      </c>
    </row>
    <row r="454" spans="1:11" ht="16">
      <c r="A454" s="1" t="s">
        <v>473</v>
      </c>
      <c r="B454" s="7" t="s">
        <v>14</v>
      </c>
      <c r="C454" s="8">
        <v>110.1</v>
      </c>
      <c r="D454" s="8" t="s">
        <v>15</v>
      </c>
      <c r="E454" s="8">
        <v>104.82</v>
      </c>
      <c r="F454" s="8">
        <f ca="1">IFERROR(__xludf.DUMMYFUNCTION("INDEX(GOOGLEFINANCE(A454, ""open"", DATE(2025,2,3), DATE(2025,2,3)), 2, 2)"),107.36)</f>
        <v>107.36</v>
      </c>
      <c r="G454" s="8">
        <f ca="1">IFERROR(__xludf.DUMMYFUNCTION("INDEX(GOOGLEFINANCE(A454, ""close"", DATE(2025,2,7), DATE(2025,2,7)), 2, 2)"),107.53)</f>
        <v>107.53</v>
      </c>
      <c r="H454" s="9">
        <f t="shared" ca="1" si="4"/>
        <v>0.15834575260804928</v>
      </c>
      <c r="I454" s="10">
        <f t="shared" ca="1" si="5"/>
        <v>1.5834575260804928</v>
      </c>
      <c r="J454" s="10" t="str">
        <f t="shared" si="6"/>
        <v>Put Spread</v>
      </c>
      <c r="K454" s="10" t="str">
        <f t="shared" ca="1" si="7"/>
        <v>Success</v>
      </c>
    </row>
    <row r="455" spans="1:11" ht="16">
      <c r="A455" s="1" t="s">
        <v>474</v>
      </c>
      <c r="B455" s="7" t="s">
        <v>14</v>
      </c>
      <c r="C455" s="8">
        <v>85.44</v>
      </c>
      <c r="D455" s="8" t="s">
        <v>15</v>
      </c>
      <c r="E455" s="8">
        <v>76.66</v>
      </c>
      <c r="F455" s="8">
        <f ca="1">IFERROR(__xludf.DUMMYFUNCTION("INDEX(GOOGLEFINANCE(A455, ""open"", DATE(2025,2,3), DATE(2025,2,3)), 2, 2)"),78.97)</f>
        <v>78.97</v>
      </c>
      <c r="G455" s="8">
        <f ca="1">IFERROR(__xludf.DUMMYFUNCTION("INDEX(GOOGLEFINANCE(A455, ""close"", DATE(2025,2,7), DATE(2025,2,7)), 2, 2)"),82.33)</f>
        <v>82.33</v>
      </c>
      <c r="H455" s="9">
        <f t="shared" ca="1" si="4"/>
        <v>4.2547802963150554</v>
      </c>
      <c r="I455" s="10">
        <f t="shared" ca="1" si="5"/>
        <v>42.547802963150552</v>
      </c>
      <c r="J455" s="10" t="str">
        <f t="shared" si="6"/>
        <v>Put Spread</v>
      </c>
      <c r="K455" s="10" t="str">
        <f t="shared" ca="1" si="7"/>
        <v>Success</v>
      </c>
    </row>
    <row r="456" spans="1:11" ht="16">
      <c r="A456" s="1" t="s">
        <v>475</v>
      </c>
      <c r="B456" s="7" t="s">
        <v>14</v>
      </c>
      <c r="C456" s="8">
        <v>61.05</v>
      </c>
      <c r="D456" s="8" t="s">
        <v>15</v>
      </c>
      <c r="E456" s="8">
        <v>52.99</v>
      </c>
      <c r="F456" s="8">
        <f ca="1">IFERROR(__xludf.DUMMYFUNCTION("INDEX(GOOGLEFINANCE(A456, ""open"", DATE(2025,2,3), DATE(2025,2,3)), 2, 2)"),55.11)</f>
        <v>55.11</v>
      </c>
      <c r="G456" s="8">
        <f ca="1">IFERROR(__xludf.DUMMYFUNCTION("INDEX(GOOGLEFINANCE(A456, ""close"", DATE(2025,2,7), DATE(2025,2,7)), 2, 2)"),53.29)</f>
        <v>53.29</v>
      </c>
      <c r="H456" s="9">
        <f t="shared" ca="1" si="4"/>
        <v>-3.3024859372164768</v>
      </c>
      <c r="I456" s="10">
        <f t="shared" ca="1" si="5"/>
        <v>-33.024859372164769</v>
      </c>
      <c r="J456" s="10" t="str">
        <f t="shared" si="6"/>
        <v>Put Spread</v>
      </c>
      <c r="K456" s="10" t="str">
        <f t="shared" ca="1" si="7"/>
        <v>Success</v>
      </c>
    </row>
    <row r="457" spans="1:11" ht="16">
      <c r="A457" s="1" t="s">
        <v>476</v>
      </c>
      <c r="B457" s="7" t="s">
        <v>14</v>
      </c>
      <c r="C457" s="8">
        <v>2.56</v>
      </c>
      <c r="D457" s="8" t="s">
        <v>15</v>
      </c>
      <c r="E457" s="8">
        <v>2.06</v>
      </c>
      <c r="F457" s="8">
        <f ca="1">IFERROR(__xludf.DUMMYFUNCTION("INDEX(GOOGLEFINANCE(A457, ""open"", DATE(2025,2,3), DATE(2025,2,3)), 2, 2)"),2.3)</f>
        <v>2.2999999999999998</v>
      </c>
      <c r="G457" s="8">
        <f ca="1">IFERROR(__xludf.DUMMYFUNCTION("INDEX(GOOGLEFINANCE(A457, ""close"", DATE(2025,2,7), DATE(2025,2,7)), 2, 2)"),2.47)</f>
        <v>2.4700000000000002</v>
      </c>
      <c r="H457" s="9">
        <f t="shared" ca="1" si="4"/>
        <v>7.3913043478261038</v>
      </c>
      <c r="I457" s="10">
        <f t="shared" ca="1" si="5"/>
        <v>73.913043478261031</v>
      </c>
      <c r="J457" s="10" t="str">
        <f t="shared" si="6"/>
        <v>Put Spread</v>
      </c>
      <c r="K457" s="10" t="str">
        <f t="shared" ca="1" si="7"/>
        <v>Success</v>
      </c>
    </row>
    <row r="458" spans="1:11" ht="16">
      <c r="A458" s="1" t="s">
        <v>477</v>
      </c>
      <c r="B458" s="7" t="s">
        <v>14</v>
      </c>
      <c r="C458" s="8">
        <v>432.56</v>
      </c>
      <c r="D458" s="8" t="s">
        <v>15</v>
      </c>
      <c r="E458" s="8">
        <v>395.84</v>
      </c>
      <c r="F458" s="8">
        <f ca="1">IFERROR(__xludf.DUMMYFUNCTION("INDEX(GOOGLEFINANCE(A458, ""open"", DATE(2025,2,3), DATE(2025,2,3)), 2, 2)"),404.5)</f>
        <v>404.5</v>
      </c>
      <c r="G458" s="8">
        <f ca="1">IFERROR(__xludf.DUMMYFUNCTION("INDEX(GOOGLEFINANCE(A458, ""close"", DATE(2025,2,7), DATE(2025,2,7)), 2, 2)"),398.1)</f>
        <v>398.1</v>
      </c>
      <c r="H458" s="9">
        <f t="shared" ca="1" si="4"/>
        <v>-1.5822002472187828</v>
      </c>
      <c r="I458" s="10">
        <f t="shared" ca="1" si="5"/>
        <v>-15.822002472187828</v>
      </c>
      <c r="J458" s="10" t="str">
        <f t="shared" si="6"/>
        <v>Put Spread</v>
      </c>
      <c r="K458" s="10" t="str">
        <f t="shared" ca="1" si="7"/>
        <v>Success</v>
      </c>
    </row>
    <row r="459" spans="1:11" ht="16">
      <c r="A459" s="1" t="s">
        <v>478</v>
      </c>
      <c r="B459" s="7" t="s">
        <v>14</v>
      </c>
      <c r="C459" s="8">
        <v>5.65</v>
      </c>
      <c r="D459" s="8" t="s">
        <v>15</v>
      </c>
      <c r="E459" s="8">
        <v>4.2300000000000004</v>
      </c>
      <c r="F459" s="8">
        <f ca="1">IFERROR(__xludf.DUMMYFUNCTION("INDEX(GOOGLEFINANCE(A459, ""open"", DATE(2025,2,3), DATE(2025,2,3)), 2, 2)"),4.73)</f>
        <v>4.7300000000000004</v>
      </c>
      <c r="G459" s="8">
        <f ca="1">IFERROR(__xludf.DUMMYFUNCTION("INDEX(GOOGLEFINANCE(A459, ""close"", DATE(2025,2,7), DATE(2025,2,7)), 2, 2)"),4.99)</f>
        <v>4.99</v>
      </c>
      <c r="H459" s="9">
        <f t="shared" ca="1" si="4"/>
        <v>5.4968287526427009</v>
      </c>
      <c r="I459" s="10">
        <f t="shared" ca="1" si="5"/>
        <v>54.968287526427012</v>
      </c>
      <c r="J459" s="10" t="str">
        <f t="shared" si="6"/>
        <v>Put Spread</v>
      </c>
      <c r="K459" s="10" t="str">
        <f t="shared" ca="1" si="7"/>
        <v>Success</v>
      </c>
    </row>
    <row r="460" spans="1:11" ht="16">
      <c r="A460" s="1" t="s">
        <v>479</v>
      </c>
      <c r="B460" s="7" t="s">
        <v>14</v>
      </c>
      <c r="C460" s="8">
        <v>26.01</v>
      </c>
      <c r="D460" s="8" t="s">
        <v>15</v>
      </c>
      <c r="E460" s="8">
        <v>17.350000000000001</v>
      </c>
      <c r="F460" s="8">
        <f ca="1">IFERROR(__xludf.DUMMYFUNCTION("INDEX(GOOGLEFINANCE(A460, ""open"", DATE(2025,2,3), DATE(2025,2,3)), 2, 2)"),20.29)</f>
        <v>20.29</v>
      </c>
      <c r="G460" s="8">
        <f ca="1">IFERROR(__xludf.DUMMYFUNCTION("INDEX(GOOGLEFINANCE(A460, ""close"", DATE(2025,2,7), DATE(2025,2,7)), 2, 2)"),18.4)</f>
        <v>18.399999999999999</v>
      </c>
      <c r="H460" s="9">
        <f t="shared" ca="1" si="4"/>
        <v>-9.3149334647609692</v>
      </c>
      <c r="I460" s="10">
        <f t="shared" ca="1" si="5"/>
        <v>-93.149334647609692</v>
      </c>
      <c r="J460" s="10" t="str">
        <f t="shared" si="6"/>
        <v>Put Spread</v>
      </c>
      <c r="K460" s="10" t="str">
        <f t="shared" ca="1" si="7"/>
        <v>Success</v>
      </c>
    </row>
    <row r="461" spans="1:11" ht="16">
      <c r="A461" s="1" t="s">
        <v>480</v>
      </c>
      <c r="B461" s="7" t="s">
        <v>38</v>
      </c>
      <c r="C461" s="8">
        <v>29.38</v>
      </c>
      <c r="D461" s="8" t="s">
        <v>39</v>
      </c>
      <c r="E461" s="8">
        <v>32.04</v>
      </c>
      <c r="F461" s="8">
        <f ca="1">IFERROR(__xludf.DUMMYFUNCTION("INDEX(GOOGLEFINANCE(A461, ""open"", DATE(2025,2,3), DATE(2025,2,3)), 2, 2)"),30.17)</f>
        <v>30.17</v>
      </c>
      <c r="G461" s="8">
        <f ca="1">IFERROR(__xludf.DUMMYFUNCTION("INDEX(GOOGLEFINANCE(A461, ""close"", DATE(2025,2,7), DATE(2025,2,7)), 2, 2)"),31)</f>
        <v>31</v>
      </c>
      <c r="H461" s="9">
        <f t="shared" ca="1" si="4"/>
        <v>-2.7510772290354599</v>
      </c>
      <c r="I461" s="10">
        <f t="shared" ca="1" si="5"/>
        <v>-27.510772290354598</v>
      </c>
      <c r="J461" s="10" t="str">
        <f t="shared" si="6"/>
        <v>Call Spread</v>
      </c>
      <c r="K461" s="10" t="str">
        <f t="shared" ca="1" si="7"/>
        <v>Success</v>
      </c>
    </row>
    <row r="462" spans="1:11" ht="16">
      <c r="A462" s="1" t="s">
        <v>481</v>
      </c>
      <c r="B462" s="7" t="s">
        <v>14</v>
      </c>
      <c r="C462" s="8">
        <v>47.51</v>
      </c>
      <c r="D462" s="8" t="s">
        <v>15</v>
      </c>
      <c r="E462" s="8">
        <v>44.15</v>
      </c>
      <c r="F462" s="8">
        <f ca="1">IFERROR(__xludf.DUMMYFUNCTION("INDEX(GOOGLEFINANCE(A462, ""open"", DATE(2025,2,3), DATE(2025,2,3)), 2, 2)"),44.48)</f>
        <v>44.48</v>
      </c>
      <c r="G462" s="8">
        <f ca="1">IFERROR(__xludf.DUMMYFUNCTION("INDEX(GOOGLEFINANCE(A462, ""close"", DATE(2025,2,7), DATE(2025,2,7)), 2, 2)"),42.98)</f>
        <v>42.98</v>
      </c>
      <c r="H462" s="9">
        <f t="shared" ca="1" si="4"/>
        <v>-3.3723021582733819</v>
      </c>
      <c r="I462" s="10">
        <f t="shared" ca="1" si="5"/>
        <v>-33.723021582733821</v>
      </c>
      <c r="J462" s="10" t="str">
        <f t="shared" si="6"/>
        <v>Put Spread</v>
      </c>
      <c r="K462" s="10" t="str">
        <f t="shared" ca="1" si="7"/>
        <v>No</v>
      </c>
    </row>
    <row r="463" spans="1:11" ht="16">
      <c r="A463" s="1" t="s">
        <v>482</v>
      </c>
      <c r="B463" s="7" t="s">
        <v>14</v>
      </c>
      <c r="C463" s="8">
        <v>15.05</v>
      </c>
      <c r="D463" s="8" t="s">
        <v>15</v>
      </c>
      <c r="E463" s="8">
        <v>12.03</v>
      </c>
      <c r="F463" s="8">
        <f ca="1">IFERROR(__xludf.DUMMYFUNCTION("INDEX(GOOGLEFINANCE(A463, ""open"", DATE(2025,2,3), DATE(2025,2,3)), 2, 2)"),13.04)</f>
        <v>13.04</v>
      </c>
      <c r="G463" s="8">
        <f ca="1">IFERROR(__xludf.DUMMYFUNCTION("INDEX(GOOGLEFINANCE(A463, ""close"", DATE(2025,2,7), DATE(2025,2,7)), 2, 2)"),14.17)</f>
        <v>14.17</v>
      </c>
      <c r="H463" s="9">
        <f t="shared" ca="1" si="4"/>
        <v>8.6656441717791477</v>
      </c>
      <c r="I463" s="10">
        <f t="shared" ca="1" si="5"/>
        <v>86.656441717791481</v>
      </c>
      <c r="J463" s="10" t="str">
        <f t="shared" si="6"/>
        <v>Put Spread</v>
      </c>
      <c r="K463" s="10" t="str">
        <f t="shared" ca="1" si="7"/>
        <v>Success</v>
      </c>
    </row>
    <row r="464" spans="1:11" ht="16">
      <c r="A464" s="1" t="s">
        <v>483</v>
      </c>
      <c r="B464" s="7" t="s">
        <v>38</v>
      </c>
      <c r="C464" s="8">
        <v>14.18</v>
      </c>
      <c r="D464" s="8" t="s">
        <v>39</v>
      </c>
      <c r="E464" s="8">
        <v>16.98</v>
      </c>
      <c r="F464" s="8">
        <f ca="1">IFERROR(__xludf.DUMMYFUNCTION("INDEX(GOOGLEFINANCE(A464, ""open"", DATE(2025,2,3), DATE(2025,2,3)), 2, 2)"),15)</f>
        <v>15</v>
      </c>
      <c r="G464" s="8">
        <f ca="1">IFERROR(__xludf.DUMMYFUNCTION("INDEX(GOOGLEFINANCE(A464, ""close"", DATE(2025,2,7), DATE(2025,2,7)), 2, 2)"),14.27)</f>
        <v>14.27</v>
      </c>
      <c r="H464" s="9">
        <f t="shared" ca="1" si="4"/>
        <v>4.8666666666666698</v>
      </c>
      <c r="I464" s="10">
        <f t="shared" ca="1" si="5"/>
        <v>48.6666666666667</v>
      </c>
      <c r="J464" s="10" t="str">
        <f t="shared" si="6"/>
        <v>Call Spread</v>
      </c>
      <c r="K464" s="10" t="str">
        <f t="shared" ca="1" si="7"/>
        <v>Success</v>
      </c>
    </row>
    <row r="465" spans="1:11" ht="16">
      <c r="A465" s="1" t="s">
        <v>484</v>
      </c>
      <c r="B465" s="7" t="s">
        <v>14</v>
      </c>
      <c r="C465" s="8">
        <v>569.67999999999995</v>
      </c>
      <c r="D465" s="8" t="s">
        <v>15</v>
      </c>
      <c r="E465" s="8">
        <v>541.17999999999995</v>
      </c>
      <c r="F465" s="8">
        <f ca="1">IFERROR(__xludf.DUMMYFUNCTION("INDEX(GOOGLEFINANCE(A465, ""open"", DATE(2025,2,3), DATE(2025,2,3)), 2, 2)"),552.64)</f>
        <v>552.64</v>
      </c>
      <c r="G465" s="8">
        <f ca="1">IFERROR(__xludf.DUMMYFUNCTION("INDEX(GOOGLEFINANCE(A465, ""close"", DATE(2025,2,7), DATE(2025,2,7)), 2, 2)"),562.75)</f>
        <v>562.75</v>
      </c>
      <c r="H465" s="9">
        <f t="shared" ca="1" si="4"/>
        <v>1.8294006948465571</v>
      </c>
      <c r="I465" s="10">
        <f t="shared" ca="1" si="5"/>
        <v>18.294006948465572</v>
      </c>
      <c r="J465" s="10" t="str">
        <f t="shared" si="6"/>
        <v>Put Spread</v>
      </c>
      <c r="K465" s="10" t="str">
        <f t="shared" ca="1" si="7"/>
        <v>Success</v>
      </c>
    </row>
    <row r="466" spans="1:11" ht="16">
      <c r="A466" s="1" t="s">
        <v>485</v>
      </c>
      <c r="B466" s="7" t="s">
        <v>14</v>
      </c>
      <c r="C466" s="8">
        <v>16.71</v>
      </c>
      <c r="D466" s="8" t="s">
        <v>15</v>
      </c>
      <c r="E466" s="8">
        <v>14.89</v>
      </c>
      <c r="F466" s="8">
        <f ca="1">IFERROR(__xludf.DUMMYFUNCTION("INDEX(GOOGLEFINANCE(A466, ""open"", DATE(2025,2,3), DATE(2025,2,3)), 2, 2)"),15.88)</f>
        <v>15.88</v>
      </c>
      <c r="G466" s="8">
        <f ca="1">IFERROR(__xludf.DUMMYFUNCTION("INDEX(GOOGLEFINANCE(A466, ""close"", DATE(2025,2,7), DATE(2025,2,7)), 2, 2)"),15.79)</f>
        <v>15.79</v>
      </c>
      <c r="H466" s="9">
        <f t="shared" ca="1" si="4"/>
        <v>-0.56675062972293222</v>
      </c>
      <c r="I466" s="10">
        <f t="shared" ca="1" si="5"/>
        <v>-5.6675062972293224</v>
      </c>
      <c r="J466" s="10" t="str">
        <f t="shared" si="6"/>
        <v>Put Spread</v>
      </c>
      <c r="K466" s="10" t="str">
        <f t="shared" ca="1" si="7"/>
        <v>Success</v>
      </c>
    </row>
    <row r="467" spans="1:11" ht="16">
      <c r="A467" s="1" t="s">
        <v>486</v>
      </c>
      <c r="B467" s="7" t="s">
        <v>14</v>
      </c>
      <c r="C467" s="8">
        <v>300.83</v>
      </c>
      <c r="D467" s="8" t="s">
        <v>15</v>
      </c>
      <c r="E467" s="8">
        <v>280.35000000000002</v>
      </c>
      <c r="F467" s="8">
        <f ca="1">IFERROR(__xludf.DUMMYFUNCTION("INDEX(GOOGLEFINANCE(A467, ""open"", DATE(2025,2,3), DATE(2025,2,3)), 2, 2)"),286.79)</f>
        <v>286.79000000000002</v>
      </c>
      <c r="G467" s="8">
        <f ca="1">IFERROR(__xludf.DUMMYFUNCTION("INDEX(GOOGLEFINANCE(A467, ""close"", DATE(2025,2,7), DATE(2025,2,7)), 2, 2)"),303.97)</f>
        <v>303.97000000000003</v>
      </c>
      <c r="H467" s="9">
        <f t="shared" ca="1" si="4"/>
        <v>5.9904459709194899</v>
      </c>
      <c r="I467" s="10">
        <f t="shared" ca="1" si="5"/>
        <v>59.904459709194896</v>
      </c>
      <c r="J467" s="10" t="str">
        <f t="shared" si="6"/>
        <v>Put Spread</v>
      </c>
      <c r="K467" s="10" t="str">
        <f t="shared" ca="1" si="7"/>
        <v>Success</v>
      </c>
    </row>
    <row r="468" spans="1:11" ht="16">
      <c r="A468" s="1" t="s">
        <v>487</v>
      </c>
      <c r="B468" s="7" t="s">
        <v>14</v>
      </c>
      <c r="C468" s="8">
        <v>21</v>
      </c>
      <c r="D468" s="8" t="s">
        <v>15</v>
      </c>
      <c r="E468" s="8">
        <v>15.68</v>
      </c>
      <c r="F468" s="8">
        <f ca="1">IFERROR(__xludf.DUMMYFUNCTION("INDEX(GOOGLEFINANCE(A468, ""open"", DATE(2025,2,3), DATE(2025,2,3)), 2, 2)"),16.92)</f>
        <v>16.920000000000002</v>
      </c>
      <c r="G468" s="8">
        <f ca="1">IFERROR(__xludf.DUMMYFUNCTION("INDEX(GOOGLEFINANCE(A468, ""close"", DATE(2025,2,7), DATE(2025,2,7)), 2, 2)"),16.77)</f>
        <v>16.77</v>
      </c>
      <c r="H468" s="9">
        <f t="shared" ca="1" si="4"/>
        <v>-0.88652482269504806</v>
      </c>
      <c r="I468" s="10">
        <f t="shared" ca="1" si="5"/>
        <v>-8.8652482269504809</v>
      </c>
      <c r="J468" s="10" t="str">
        <f t="shared" si="6"/>
        <v>Put Spread</v>
      </c>
      <c r="K468" s="10" t="str">
        <f t="shared" ca="1" si="7"/>
        <v>Success</v>
      </c>
    </row>
    <row r="469" spans="1:11" ht="16">
      <c r="A469" s="1" t="s">
        <v>488</v>
      </c>
      <c r="B469" s="7" t="s">
        <v>14</v>
      </c>
      <c r="C469" s="8">
        <v>18.170000000000002</v>
      </c>
      <c r="D469" s="8" t="s">
        <v>15</v>
      </c>
      <c r="E469" s="8">
        <v>14.88</v>
      </c>
      <c r="F469" s="8">
        <f ca="1">IFERROR(__xludf.DUMMYFUNCTION("INDEX(GOOGLEFINANCE(A469, ""open"", DATE(2025,2,3), DATE(2025,2,3)), 2, 2)"),15.75)</f>
        <v>15.75</v>
      </c>
      <c r="G469" s="8">
        <f ca="1">IFERROR(__xludf.DUMMYFUNCTION("INDEX(GOOGLEFINANCE(A469, ""close"", DATE(2025,2,7), DATE(2025,2,7)), 2, 2)"),16.07)</f>
        <v>16.07</v>
      </c>
      <c r="H469" s="9">
        <f t="shared" ca="1" si="4"/>
        <v>2.0317460317460334</v>
      </c>
      <c r="I469" s="10">
        <f t="shared" ca="1" si="5"/>
        <v>20.317460317460334</v>
      </c>
      <c r="J469" s="10" t="str">
        <f t="shared" si="6"/>
        <v>Put Spread</v>
      </c>
      <c r="K469" s="10" t="str">
        <f t="shared" ca="1" si="7"/>
        <v>Success</v>
      </c>
    </row>
    <row r="470" spans="1:11" ht="16">
      <c r="A470" s="1" t="s">
        <v>489</v>
      </c>
      <c r="B470" s="7" t="s">
        <v>14</v>
      </c>
      <c r="C470" s="8">
        <v>82.28</v>
      </c>
      <c r="D470" s="8" t="s">
        <v>15</v>
      </c>
      <c r="E470" s="8">
        <v>74.3</v>
      </c>
      <c r="F470" s="8">
        <f ca="1">IFERROR(__xludf.DUMMYFUNCTION("INDEX(GOOGLEFINANCE(A470, ""open"", DATE(2025,2,3), DATE(2025,2,3)), 2, 2)"),75)</f>
        <v>75</v>
      </c>
      <c r="G470" s="8">
        <f ca="1">IFERROR(__xludf.DUMMYFUNCTION("INDEX(GOOGLEFINANCE(A470, ""close"", DATE(2025,2,7), DATE(2025,2,7)), 2, 2)"),78.8)</f>
        <v>78.8</v>
      </c>
      <c r="H470" s="9">
        <f t="shared" ca="1" si="4"/>
        <v>5.0666666666666629</v>
      </c>
      <c r="I470" s="10">
        <f t="shared" ca="1" si="5"/>
        <v>50.666666666666622</v>
      </c>
      <c r="J470" s="10" t="str">
        <f t="shared" si="6"/>
        <v>Put Spread</v>
      </c>
      <c r="K470" s="10" t="str">
        <f t="shared" ca="1" si="7"/>
        <v>Success</v>
      </c>
    </row>
    <row r="471" spans="1:11" ht="16">
      <c r="A471" s="1" t="s">
        <v>490</v>
      </c>
      <c r="B471" s="7" t="s">
        <v>14</v>
      </c>
      <c r="C471" s="8">
        <v>297.18</v>
      </c>
      <c r="D471" s="8" t="s">
        <v>15</v>
      </c>
      <c r="E471" s="8">
        <v>280.22000000000003</v>
      </c>
      <c r="F471" s="8">
        <f ca="1">IFERROR(__xludf.DUMMYFUNCTION("INDEX(GOOGLEFINANCE(A471, ""open"", DATE(2025,2,3), DATE(2025,2,3)), 2, 2)"),287.02)</f>
        <v>287.02</v>
      </c>
      <c r="G471" s="8">
        <f ca="1">IFERROR(__xludf.DUMMYFUNCTION("INDEX(GOOGLEFINANCE(A471, ""close"", DATE(2025,2,7), DATE(2025,2,7)), 2, 2)"),294.3)</f>
        <v>294.3</v>
      </c>
      <c r="H471" s="9">
        <f t="shared" ca="1" si="4"/>
        <v>2.5364086126402445</v>
      </c>
      <c r="I471" s="10">
        <f t="shared" ca="1" si="5"/>
        <v>25.364086126402444</v>
      </c>
      <c r="J471" s="10" t="str">
        <f t="shared" si="6"/>
        <v>Put Spread</v>
      </c>
      <c r="K471" s="10" t="str">
        <f t="shared" ca="1" si="7"/>
        <v>Success</v>
      </c>
    </row>
    <row r="472" spans="1:11" ht="16">
      <c r="A472" s="1" t="s">
        <v>491</v>
      </c>
      <c r="B472" s="7" t="s">
        <v>14</v>
      </c>
      <c r="C472" s="8">
        <v>50.47</v>
      </c>
      <c r="D472" s="8" t="s">
        <v>15</v>
      </c>
      <c r="E472" s="8">
        <v>46.35</v>
      </c>
      <c r="F472" s="8">
        <f ca="1">IFERROR(__xludf.DUMMYFUNCTION("INDEX(GOOGLEFINANCE(A472, ""open"", DATE(2025,2,3), DATE(2025,2,3)), 2, 2)"),47.42)</f>
        <v>47.42</v>
      </c>
      <c r="G472" s="8">
        <f ca="1">IFERROR(__xludf.DUMMYFUNCTION("INDEX(GOOGLEFINANCE(A472, ""close"", DATE(2025,2,7), DATE(2025,2,7)), 2, 2)"),49.73)</f>
        <v>49.73</v>
      </c>
      <c r="H472" s="9">
        <f t="shared" ca="1" si="4"/>
        <v>4.8713622943905426</v>
      </c>
      <c r="I472" s="10">
        <f t="shared" ca="1" si="5"/>
        <v>48.713622943905428</v>
      </c>
      <c r="J472" s="10" t="str">
        <f t="shared" si="6"/>
        <v>Put Spread</v>
      </c>
      <c r="K472" s="10" t="str">
        <f t="shared" ca="1" si="7"/>
        <v>Success</v>
      </c>
    </row>
    <row r="473" spans="1:11" ht="16">
      <c r="A473" s="1" t="s">
        <v>492</v>
      </c>
      <c r="B473" s="7" t="s">
        <v>14</v>
      </c>
      <c r="C473" s="8">
        <v>298.51</v>
      </c>
      <c r="D473" s="8" t="s">
        <v>15</v>
      </c>
      <c r="E473" s="8">
        <v>248.13</v>
      </c>
      <c r="F473" s="8">
        <f ca="1">IFERROR(__xludf.DUMMYFUNCTION("INDEX(GOOGLEFINANCE(A473, ""open"", DATE(2025,2,3), DATE(2025,2,3)), 2, 2)"),266)</f>
        <v>266</v>
      </c>
      <c r="G473" s="8">
        <f ca="1">IFERROR(__xludf.DUMMYFUNCTION("INDEX(GOOGLEFINANCE(A473, ""close"", DATE(2025,2,7), DATE(2025,2,7)), 2, 2)"),277.87)</f>
        <v>277.87</v>
      </c>
      <c r="H473" s="9">
        <f t="shared" ca="1" si="4"/>
        <v>4.4624060150375957</v>
      </c>
      <c r="I473" s="10">
        <f t="shared" ca="1" si="5"/>
        <v>44.624060150375954</v>
      </c>
      <c r="J473" s="10" t="str">
        <f t="shared" si="6"/>
        <v>Put Spread</v>
      </c>
      <c r="K473" s="10" t="str">
        <f t="shared" ca="1" si="7"/>
        <v>Success</v>
      </c>
    </row>
    <row r="474" spans="1:11" ht="16">
      <c r="A474" s="1" t="s">
        <v>493</v>
      </c>
      <c r="B474" s="7" t="s">
        <v>14</v>
      </c>
      <c r="C474" s="8">
        <v>60.23</v>
      </c>
      <c r="D474" s="8" t="s">
        <v>15</v>
      </c>
      <c r="E474" s="8">
        <v>55.75</v>
      </c>
      <c r="F474" s="8">
        <f ca="1">IFERROR(__xludf.DUMMYFUNCTION("INDEX(GOOGLEFINANCE(A474, ""open"", DATE(2025,2,3), DATE(2025,2,3)), 2, 2)"),57.99)</f>
        <v>57.99</v>
      </c>
      <c r="G474" s="8">
        <f ca="1">IFERROR(__xludf.DUMMYFUNCTION("INDEX(GOOGLEFINANCE(A474, ""close"", DATE(2025,2,7), DATE(2025,2,7)), 2, 2)"),58.45)</f>
        <v>58.45</v>
      </c>
      <c r="H474" s="9">
        <f t="shared" ca="1" si="4"/>
        <v>0.79324021382997201</v>
      </c>
      <c r="I474" s="10">
        <f t="shared" ca="1" si="5"/>
        <v>7.9324021382997207</v>
      </c>
      <c r="J474" s="10" t="str">
        <f t="shared" si="6"/>
        <v>Put Spread</v>
      </c>
      <c r="K474" s="10" t="str">
        <f t="shared" ca="1" si="7"/>
        <v>Success</v>
      </c>
    </row>
    <row r="475" spans="1:11" ht="16">
      <c r="A475" s="1" t="s">
        <v>494</v>
      </c>
      <c r="B475" s="7" t="s">
        <v>14</v>
      </c>
      <c r="C475" s="8">
        <v>93.52</v>
      </c>
      <c r="D475" s="8" t="s">
        <v>15</v>
      </c>
      <c r="E475" s="8">
        <v>88.12</v>
      </c>
      <c r="F475" s="8">
        <f ca="1">IFERROR(__xludf.DUMMYFUNCTION("INDEX(GOOGLEFINANCE(A475, ""open"", DATE(2025,2,3), DATE(2025,2,3)), 2, 2)"),90.27)</f>
        <v>90.27</v>
      </c>
      <c r="G475" s="8">
        <f ca="1">IFERROR(__xludf.DUMMYFUNCTION("INDEX(GOOGLEFINANCE(A475, ""close"", DATE(2025,2,7), DATE(2025,2,7)), 2, 2)"),90.01)</f>
        <v>90.01</v>
      </c>
      <c r="H475" s="9">
        <f t="shared" ca="1" si="4"/>
        <v>-0.28802481444554218</v>
      </c>
      <c r="I475" s="10">
        <f t="shared" ca="1" si="5"/>
        <v>-2.8802481444554218</v>
      </c>
      <c r="J475" s="10" t="str">
        <f t="shared" si="6"/>
        <v>Put Spread</v>
      </c>
      <c r="K475" s="10" t="str">
        <f t="shared" ca="1" si="7"/>
        <v>Success</v>
      </c>
    </row>
    <row r="476" spans="1:11" ht="16">
      <c r="A476" s="1" t="s">
        <v>495</v>
      </c>
      <c r="B476" s="7" t="s">
        <v>38</v>
      </c>
      <c r="C476" s="8">
        <v>576.37</v>
      </c>
      <c r="D476" s="8" t="s">
        <v>39</v>
      </c>
      <c r="E476" s="8">
        <v>604.99</v>
      </c>
      <c r="F476" s="8">
        <f ca="1">IFERROR(__xludf.DUMMYFUNCTION("INDEX(GOOGLEFINANCE(A476, ""open"", DATE(2025,2,3), DATE(2025,2,3)), 2, 2)"),578.73)</f>
        <v>578.73</v>
      </c>
      <c r="G476" s="8">
        <f ca="1">IFERROR(__xludf.DUMMYFUNCTION("INDEX(GOOGLEFINANCE(A476, ""close"", DATE(2025,2,7), DATE(2025,2,7)), 2, 2)"),585.37)</f>
        <v>585.37</v>
      </c>
      <c r="H476" s="9">
        <f t="shared" ca="1" si="4"/>
        <v>-1.1473398648765376</v>
      </c>
      <c r="I476" s="10">
        <f t="shared" ca="1" si="5"/>
        <v>-11.473398648765375</v>
      </c>
      <c r="J476" s="10" t="str">
        <f t="shared" si="6"/>
        <v>Call Spread</v>
      </c>
      <c r="K476" s="10" t="str">
        <f t="shared" ca="1" si="7"/>
        <v>Success</v>
      </c>
    </row>
    <row r="477" spans="1:11" ht="16">
      <c r="A477" s="1" t="s">
        <v>496</v>
      </c>
      <c r="B477" s="7" t="s">
        <v>14</v>
      </c>
      <c r="C477" s="8">
        <v>92.27</v>
      </c>
      <c r="D477" s="8" t="s">
        <v>15</v>
      </c>
      <c r="E477" s="8">
        <v>87.75</v>
      </c>
      <c r="F477" s="8">
        <f ca="1">IFERROR(__xludf.DUMMYFUNCTION("INDEX(GOOGLEFINANCE(A477, ""open"", DATE(2025,2,3), DATE(2025,2,3)), 2, 2)"),88.09)</f>
        <v>88.09</v>
      </c>
      <c r="G477" s="8">
        <f ca="1">IFERROR(__xludf.DUMMYFUNCTION("INDEX(GOOGLEFINANCE(A477, ""close"", DATE(2025,2,7), DATE(2025,2,7)), 2, 2)"),89.76)</f>
        <v>89.76</v>
      </c>
      <c r="H477" s="9">
        <f t="shared" ca="1" si="4"/>
        <v>1.8957883982290857</v>
      </c>
      <c r="I477" s="10">
        <f t="shared" ca="1" si="5"/>
        <v>18.957883982290856</v>
      </c>
      <c r="J477" s="10" t="str">
        <f t="shared" si="6"/>
        <v>Put Spread</v>
      </c>
      <c r="K477" s="10" t="str">
        <f t="shared" ca="1" si="7"/>
        <v>Success</v>
      </c>
    </row>
    <row r="478" spans="1:11" ht="16">
      <c r="A478" s="1" t="s">
        <v>497</v>
      </c>
      <c r="B478" s="7" t="s">
        <v>14</v>
      </c>
      <c r="C478" s="8">
        <v>2037.82</v>
      </c>
      <c r="D478" s="8" t="s">
        <v>15</v>
      </c>
      <c r="E478" s="8">
        <v>1806.56</v>
      </c>
      <c r="F478" s="8">
        <f ca="1">IFERROR(__xludf.DUMMYFUNCTION("INDEX(GOOGLEFINANCE(A478, ""open"", DATE(2025,2,3), DATE(2025,2,3)), 2, 2)"),1880.07)</f>
        <v>1880.07</v>
      </c>
      <c r="G478" s="8">
        <f ca="1">IFERROR(__xludf.DUMMYFUNCTION("INDEX(GOOGLEFINANCE(A478, ""close"", DATE(2025,2,7), DATE(2025,2,7)), 2, 2)"),1996.65)</f>
        <v>1996.65</v>
      </c>
      <c r="H478" s="9">
        <f t="shared" ca="1" si="4"/>
        <v>6.2008329477094026</v>
      </c>
      <c r="I478" s="10">
        <f t="shared" ca="1" si="5"/>
        <v>62.00832947709403</v>
      </c>
      <c r="J478" s="10" t="str">
        <f t="shared" si="6"/>
        <v>Put Spread</v>
      </c>
      <c r="K478" s="10" t="str">
        <f t="shared" ca="1" si="7"/>
        <v>Success</v>
      </c>
    </row>
    <row r="479" spans="1:11" ht="16">
      <c r="A479" s="1" t="s">
        <v>498</v>
      </c>
      <c r="B479" s="7" t="s">
        <v>14</v>
      </c>
      <c r="C479" s="8">
        <v>89.43</v>
      </c>
      <c r="D479" s="8" t="s">
        <v>15</v>
      </c>
      <c r="E479" s="8">
        <v>83.59</v>
      </c>
      <c r="F479" s="8">
        <f ca="1">IFERROR(__xludf.DUMMYFUNCTION("INDEX(GOOGLEFINANCE(A479, ""open"", DATE(2025,2,3), DATE(2025,2,3)), 2, 2)"),84.7)</f>
        <v>84.7</v>
      </c>
      <c r="G479" s="8">
        <f ca="1">IFERROR(__xludf.DUMMYFUNCTION("INDEX(GOOGLEFINANCE(A479, ""close"", DATE(2025,2,7), DATE(2025,2,7)), 2, 2)"),83.92)</f>
        <v>83.92</v>
      </c>
      <c r="H479" s="9">
        <f t="shared" ca="1" si="4"/>
        <v>-0.9208972845336495</v>
      </c>
      <c r="I479" s="10">
        <f t="shared" ca="1" si="5"/>
        <v>-9.2089728453364952</v>
      </c>
      <c r="J479" s="10" t="str">
        <f t="shared" si="6"/>
        <v>Put Spread</v>
      </c>
      <c r="K479" s="10" t="str">
        <f t="shared" ca="1" si="7"/>
        <v>Success</v>
      </c>
    </row>
    <row r="480" spans="1:11" ht="16">
      <c r="A480" s="1" t="s">
        <v>499</v>
      </c>
      <c r="B480" s="7" t="s">
        <v>14</v>
      </c>
      <c r="C480" s="8">
        <v>718.47</v>
      </c>
      <c r="D480" s="8" t="s">
        <v>15</v>
      </c>
      <c r="E480" s="8">
        <v>659.89</v>
      </c>
      <c r="F480" s="8">
        <f ca="1">IFERROR(__xludf.DUMMYFUNCTION("INDEX(GOOGLEFINANCE(A480, ""open"", DATE(2025,2,3), DATE(2025,2,3)), 2, 2)"),675.91)</f>
        <v>675.91</v>
      </c>
      <c r="G480" s="8">
        <f ca="1">IFERROR(__xludf.DUMMYFUNCTION("INDEX(GOOGLEFINANCE(A480, ""close"", DATE(2025,2,7), DATE(2025,2,7)), 2, 2)"),714.52)</f>
        <v>714.52</v>
      </c>
      <c r="H480" s="9">
        <f t="shared" ca="1" si="4"/>
        <v>5.712298974715571</v>
      </c>
      <c r="I480" s="10">
        <f t="shared" ca="1" si="5"/>
        <v>57.122989747155707</v>
      </c>
      <c r="J480" s="10" t="str">
        <f t="shared" si="6"/>
        <v>Put Spread</v>
      </c>
      <c r="K480" s="10" t="str">
        <f t="shared" ca="1" si="7"/>
        <v>Success</v>
      </c>
    </row>
    <row r="481" spans="1:11" ht="16">
      <c r="A481" s="1" t="s">
        <v>500</v>
      </c>
      <c r="B481" s="7" t="s">
        <v>14</v>
      </c>
      <c r="C481" s="8">
        <v>16.260000000000002</v>
      </c>
      <c r="D481" s="8" t="s">
        <v>15</v>
      </c>
      <c r="E481" s="8">
        <v>14.16</v>
      </c>
      <c r="F481" s="8">
        <f ca="1">IFERROR(__xludf.DUMMYFUNCTION("INDEX(GOOGLEFINANCE(A481, ""open"", DATE(2025,2,3), DATE(2025,2,3)), 2, 2)"),14.79)</f>
        <v>14.79</v>
      </c>
      <c r="G481" s="8">
        <f ca="1">IFERROR(__xludf.DUMMYFUNCTION("INDEX(GOOGLEFINANCE(A481, ""close"", DATE(2025,2,7), DATE(2025,2,7)), 2, 2)"),14.89)</f>
        <v>14.89</v>
      </c>
      <c r="H481" s="9">
        <f t="shared" ca="1" si="4"/>
        <v>0.67613252197431661</v>
      </c>
      <c r="I481" s="10">
        <f t="shared" ca="1" si="5"/>
        <v>6.761325219743167</v>
      </c>
      <c r="J481" s="10" t="str">
        <f t="shared" si="6"/>
        <v>Put Spread</v>
      </c>
      <c r="K481" s="10" t="str">
        <f t="shared" ca="1" si="7"/>
        <v>Success</v>
      </c>
    </row>
    <row r="482" spans="1:11" ht="16">
      <c r="A482" s="1" t="s">
        <v>501</v>
      </c>
      <c r="B482" s="7" t="s">
        <v>14</v>
      </c>
      <c r="C482" s="8">
        <v>9.41</v>
      </c>
      <c r="D482" s="8" t="s">
        <v>15</v>
      </c>
      <c r="E482" s="8">
        <v>8.49</v>
      </c>
      <c r="F482" s="8">
        <f ca="1">IFERROR(__xludf.DUMMYFUNCTION("INDEX(GOOGLEFINANCE(A482, ""open"", DATE(2025,2,3), DATE(2025,2,3)), 2, 2)"),8.83)</f>
        <v>8.83</v>
      </c>
      <c r="G482" s="8">
        <f ca="1">IFERROR(__xludf.DUMMYFUNCTION("INDEX(GOOGLEFINANCE(A482, ""close"", DATE(2025,2,7), DATE(2025,2,7)), 2, 2)"),8.81)</f>
        <v>8.81</v>
      </c>
      <c r="H482" s="9">
        <f t="shared" ca="1" si="4"/>
        <v>-0.2265005662514108</v>
      </c>
      <c r="I482" s="10">
        <f t="shared" ca="1" si="5"/>
        <v>-2.265005662514108</v>
      </c>
      <c r="J482" s="10" t="str">
        <f t="shared" si="6"/>
        <v>Put Spread</v>
      </c>
      <c r="K482" s="10" t="str">
        <f t="shared" ca="1" si="7"/>
        <v>Success</v>
      </c>
    </row>
    <row r="483" spans="1:11" ht="16">
      <c r="A483" s="1" t="s">
        <v>502</v>
      </c>
      <c r="B483" s="7" t="s">
        <v>14</v>
      </c>
      <c r="C483" s="8">
        <v>357.73</v>
      </c>
      <c r="D483" s="8" t="s">
        <v>15</v>
      </c>
      <c r="E483" s="8">
        <v>338.63</v>
      </c>
      <c r="F483" s="8">
        <f ca="1">IFERROR(__xludf.DUMMYFUNCTION("INDEX(GOOGLEFINANCE(A483, ""open"", DATE(2025,2,3), DATE(2025,2,3)), 2, 2)"),341.47)</f>
        <v>341.47</v>
      </c>
      <c r="G483" s="8">
        <f ca="1">IFERROR(__xludf.DUMMYFUNCTION("INDEX(GOOGLEFINANCE(A483, ""close"", DATE(2025,2,7), DATE(2025,2,7)), 2, 2)"),348.69)</f>
        <v>348.69</v>
      </c>
      <c r="H483" s="9">
        <f t="shared" ca="1" si="4"/>
        <v>2.1143877939496791</v>
      </c>
      <c r="I483" s="10">
        <f t="shared" ca="1" si="5"/>
        <v>21.143877939496793</v>
      </c>
      <c r="J483" s="10" t="str">
        <f t="shared" si="6"/>
        <v>Put Spread</v>
      </c>
      <c r="K483" s="10" t="str">
        <f t="shared" ca="1" si="7"/>
        <v>Success</v>
      </c>
    </row>
    <row r="484" spans="1:11" ht="16">
      <c r="A484" s="1" t="s">
        <v>503</v>
      </c>
      <c r="B484" s="7" t="s">
        <v>14</v>
      </c>
      <c r="C484" s="8">
        <v>35.799999999999997</v>
      </c>
      <c r="D484" s="8" t="s">
        <v>15</v>
      </c>
      <c r="E484" s="8">
        <v>33.159999999999997</v>
      </c>
      <c r="F484" s="8">
        <f ca="1">IFERROR(__xludf.DUMMYFUNCTION("INDEX(GOOGLEFINANCE(A484, ""open"", DATE(2025,2,3), DATE(2025,2,3)), 2, 2)"),32.76)</f>
        <v>32.76</v>
      </c>
      <c r="G484" s="8">
        <f ca="1">IFERROR(__xludf.DUMMYFUNCTION("INDEX(GOOGLEFINANCE(A484, ""close"", DATE(2025,2,7), DATE(2025,2,7)), 2, 2)"),34.57)</f>
        <v>34.57</v>
      </c>
      <c r="H484" s="9">
        <f t="shared" ca="1" si="4"/>
        <v>5.525030525030532</v>
      </c>
      <c r="I484" s="10">
        <f t="shared" ca="1" si="5"/>
        <v>55.250305250305317</v>
      </c>
      <c r="J484" s="10" t="str">
        <f t="shared" si="6"/>
        <v>Put Spread</v>
      </c>
      <c r="K484" s="10" t="str">
        <f t="shared" ca="1" si="7"/>
        <v>Success</v>
      </c>
    </row>
    <row r="485" spans="1:11" ht="16">
      <c r="A485" s="1" t="s">
        <v>504</v>
      </c>
      <c r="B485" s="7" t="s">
        <v>14</v>
      </c>
      <c r="C485" s="8">
        <v>2.23</v>
      </c>
      <c r="D485" s="8" t="s">
        <v>15</v>
      </c>
      <c r="E485" s="8">
        <v>1.99</v>
      </c>
      <c r="F485" s="8">
        <f ca="1">IFERROR(__xludf.DUMMYFUNCTION("INDEX(GOOGLEFINANCE(A485, ""open"", DATE(2025,2,3), DATE(2025,2,3)), 2, 2)"),2.06)</f>
        <v>2.06</v>
      </c>
      <c r="G485" s="8">
        <f ca="1">IFERROR(__xludf.DUMMYFUNCTION("INDEX(GOOGLEFINANCE(A485, ""close"", DATE(2025,2,7), DATE(2025,2,7)), 2, 2)"),2.17)</f>
        <v>2.17</v>
      </c>
      <c r="H485" s="9">
        <f t="shared" ca="1" si="4"/>
        <v>5.3398058252427125</v>
      </c>
      <c r="I485" s="10">
        <f t="shared" ca="1" si="5"/>
        <v>53.398058252427127</v>
      </c>
      <c r="J485" s="10" t="str">
        <f t="shared" si="6"/>
        <v>Put Spread</v>
      </c>
      <c r="K485" s="10" t="str">
        <f t="shared" ca="1" si="7"/>
        <v>Success</v>
      </c>
    </row>
    <row r="486" spans="1:11" ht="16">
      <c r="A486" s="1" t="s">
        <v>505</v>
      </c>
      <c r="B486" s="7" t="s">
        <v>14</v>
      </c>
      <c r="C486" s="8">
        <v>157.22</v>
      </c>
      <c r="D486" s="8" t="s">
        <v>15</v>
      </c>
      <c r="E486" s="8">
        <v>147.18</v>
      </c>
      <c r="F486" s="8">
        <f ca="1">IFERROR(__xludf.DUMMYFUNCTION("INDEX(GOOGLEFINANCE(A486, ""open"", DATE(2025,2,3), DATE(2025,2,3)), 2, 2)"),149.18)</f>
        <v>149.18</v>
      </c>
      <c r="G486" s="8">
        <f ca="1">IFERROR(__xludf.DUMMYFUNCTION("INDEX(GOOGLEFINANCE(A486, ""close"", DATE(2025,2,7), DATE(2025,2,7)), 2, 2)"),149.87)</f>
        <v>149.87</v>
      </c>
      <c r="H486" s="9">
        <f t="shared" ca="1" si="4"/>
        <v>0.46252848907360078</v>
      </c>
      <c r="I486" s="10">
        <f t="shared" ca="1" si="5"/>
        <v>4.6252848907360082</v>
      </c>
      <c r="J486" s="10" t="str">
        <f t="shared" si="6"/>
        <v>Put Spread</v>
      </c>
      <c r="K486" s="10" t="str">
        <f t="shared" ca="1" si="7"/>
        <v>Success</v>
      </c>
    </row>
    <row r="487" spans="1:11" ht="16">
      <c r="A487" s="1" t="s">
        <v>506</v>
      </c>
      <c r="B487" s="7" t="s">
        <v>14</v>
      </c>
      <c r="C487" s="8">
        <v>24.85</v>
      </c>
      <c r="D487" s="8" t="s">
        <v>15</v>
      </c>
      <c r="E487" s="8">
        <v>21.13</v>
      </c>
      <c r="F487" s="8">
        <f ca="1">IFERROR(__xludf.DUMMYFUNCTION("INDEX(GOOGLEFINANCE(A487, ""open"", DATE(2025,2,3), DATE(2025,2,3)), 2, 2)"),22.74)</f>
        <v>22.74</v>
      </c>
      <c r="G487" s="8">
        <f ca="1">IFERROR(__xludf.DUMMYFUNCTION("INDEX(GOOGLEFINANCE(A487, ""close"", DATE(2025,2,7), DATE(2025,2,7)), 2, 2)"),23.15)</f>
        <v>23.15</v>
      </c>
      <c r="H487" s="9">
        <f t="shared" ca="1" si="4"/>
        <v>1.8029903254177668</v>
      </c>
      <c r="I487" s="10">
        <f t="shared" ca="1" si="5"/>
        <v>18.029903254177668</v>
      </c>
      <c r="J487" s="10" t="str">
        <f t="shared" si="6"/>
        <v>Put Spread</v>
      </c>
      <c r="K487" s="10" t="str">
        <f t="shared" ca="1" si="7"/>
        <v>Success</v>
      </c>
    </row>
    <row r="488" spans="1:11" ht="16">
      <c r="A488" s="1" t="s">
        <v>507</v>
      </c>
      <c r="B488" s="7" t="s">
        <v>14</v>
      </c>
      <c r="C488" s="8">
        <v>53.97</v>
      </c>
      <c r="D488" s="8" t="s">
        <v>15</v>
      </c>
      <c r="E488" s="8">
        <v>50.49</v>
      </c>
      <c r="F488" s="8">
        <f ca="1">IFERROR(__xludf.DUMMYFUNCTION("INDEX(GOOGLEFINANCE(A488, ""open"", DATE(2025,2,3), DATE(2025,2,3)), 2, 2)"),52)</f>
        <v>52</v>
      </c>
      <c r="G488" s="8">
        <f ca="1">IFERROR(__xludf.DUMMYFUNCTION("INDEX(GOOGLEFINANCE(A488, ""close"", DATE(2025,2,7), DATE(2025,2,7)), 2, 2)"),52.66)</f>
        <v>52.66</v>
      </c>
      <c r="H488" s="9">
        <f t="shared" ca="1" si="4"/>
        <v>1.2692307692307625</v>
      </c>
      <c r="I488" s="10">
        <f t="shared" ca="1" si="5"/>
        <v>12.692307692307624</v>
      </c>
      <c r="J488" s="10" t="str">
        <f t="shared" si="6"/>
        <v>Put Spread</v>
      </c>
      <c r="K488" s="10" t="str">
        <f t="shared" ca="1" si="7"/>
        <v>Success</v>
      </c>
    </row>
    <row r="489" spans="1:11" ht="16">
      <c r="A489" s="1" t="s">
        <v>508</v>
      </c>
      <c r="B489" s="7" t="s">
        <v>38</v>
      </c>
      <c r="C489" s="8">
        <v>7.05</v>
      </c>
      <c r="D489" s="8" t="s">
        <v>39</v>
      </c>
      <c r="E489" s="8">
        <v>8.67</v>
      </c>
      <c r="F489" s="8">
        <f ca="1">IFERROR(__xludf.DUMMYFUNCTION("INDEX(GOOGLEFINANCE(A489, ""open"", DATE(2025,2,3), DATE(2025,2,3)), 2, 2)"),7.68)</f>
        <v>7.68</v>
      </c>
      <c r="G489" s="8">
        <f ca="1">IFERROR(__xludf.DUMMYFUNCTION("INDEX(GOOGLEFINANCE(A489, ""close"", DATE(2025,2,7), DATE(2025,2,7)), 2, 2)"),7.58)</f>
        <v>7.58</v>
      </c>
      <c r="H489" s="9">
        <f t="shared" ca="1" si="4"/>
        <v>1.3020833333333286</v>
      </c>
      <c r="I489" s="10">
        <f t="shared" ca="1" si="5"/>
        <v>13.020833333333284</v>
      </c>
      <c r="J489" s="10" t="str">
        <f t="shared" si="6"/>
        <v>Call Spread</v>
      </c>
      <c r="K489" s="10" t="str">
        <f t="shared" ca="1" si="7"/>
        <v>Success</v>
      </c>
    </row>
    <row r="490" spans="1:11" ht="16">
      <c r="A490" s="1" t="s">
        <v>509</v>
      </c>
      <c r="B490" s="7" t="s">
        <v>14</v>
      </c>
      <c r="C490" s="8">
        <v>7.68</v>
      </c>
      <c r="D490" s="8" t="s">
        <v>15</v>
      </c>
      <c r="E490" s="8">
        <v>6.7</v>
      </c>
      <c r="F490" s="8">
        <f ca="1">IFERROR(__xludf.DUMMYFUNCTION("INDEX(GOOGLEFINANCE(A490, ""open"", DATE(2025,2,3), DATE(2025,2,3)), 2, 2)"),6.97)</f>
        <v>6.97</v>
      </c>
      <c r="G490" s="8">
        <f ca="1">IFERROR(__xludf.DUMMYFUNCTION("INDEX(GOOGLEFINANCE(A490, ""close"", DATE(2025,2,7), DATE(2025,2,7)), 2, 2)"),7.42)</f>
        <v>7.42</v>
      </c>
      <c r="H490" s="9">
        <f t="shared" ca="1" si="4"/>
        <v>6.4562410329985678</v>
      </c>
      <c r="I490" s="10">
        <f t="shared" ca="1" si="5"/>
        <v>64.562410329985681</v>
      </c>
      <c r="J490" s="10" t="str">
        <f t="shared" si="6"/>
        <v>Put Spread</v>
      </c>
      <c r="K490" s="10" t="str">
        <f t="shared" ca="1" si="7"/>
        <v>Success</v>
      </c>
    </row>
    <row r="491" spans="1:11" ht="16">
      <c r="A491" s="1" t="s">
        <v>510</v>
      </c>
      <c r="B491" s="7" t="s">
        <v>14</v>
      </c>
      <c r="C491" s="8">
        <v>30.35</v>
      </c>
      <c r="D491" s="8" t="s">
        <v>15</v>
      </c>
      <c r="E491" s="8">
        <v>25.43</v>
      </c>
      <c r="F491" s="8">
        <f ca="1">IFERROR(__xludf.DUMMYFUNCTION("INDEX(GOOGLEFINANCE(A491, ""open"", DATE(2025,2,3), DATE(2025,2,3)), 2, 2)"),26.97)</f>
        <v>26.97</v>
      </c>
      <c r="G491" s="8">
        <f ca="1">IFERROR(__xludf.DUMMYFUNCTION("INDEX(GOOGLEFINANCE(A491, ""close"", DATE(2025,2,7), DATE(2025,2,7)), 2, 2)"),26.85)</f>
        <v>26.85</v>
      </c>
      <c r="H491" s="9">
        <f t="shared" ca="1" si="4"/>
        <v>-0.44493882091211512</v>
      </c>
      <c r="I491" s="10">
        <f t="shared" ca="1" si="5"/>
        <v>-4.4493882091211505</v>
      </c>
      <c r="J491" s="10" t="str">
        <f t="shared" si="6"/>
        <v>Put Spread</v>
      </c>
      <c r="K491" s="10" t="str">
        <f t="shared" ca="1" si="7"/>
        <v>Success</v>
      </c>
    </row>
    <row r="492" spans="1:11" ht="16">
      <c r="A492" s="1" t="s">
        <v>511</v>
      </c>
      <c r="B492" s="7" t="s">
        <v>14</v>
      </c>
      <c r="C492" s="8">
        <v>23.61</v>
      </c>
      <c r="D492" s="8" t="s">
        <v>15</v>
      </c>
      <c r="E492" s="8">
        <v>20.309999999999999</v>
      </c>
      <c r="F492" s="8">
        <f ca="1">IFERROR(__xludf.DUMMYFUNCTION("INDEX(GOOGLEFINANCE(A492, ""open"", DATE(2025,2,3), DATE(2025,2,3)), 2, 2)"),22.35)</f>
        <v>22.35</v>
      </c>
      <c r="G492" s="8">
        <f ca="1">IFERROR(__xludf.DUMMYFUNCTION("INDEX(GOOGLEFINANCE(A492, ""close"", DATE(2025,2,7), DATE(2025,2,7)), 2, 2)"),23.94)</f>
        <v>23.94</v>
      </c>
      <c r="H492" s="9">
        <f t="shared" ca="1" si="4"/>
        <v>7.1140939597315418</v>
      </c>
      <c r="I492" s="10">
        <f t="shared" ca="1" si="5"/>
        <v>71.140939597315423</v>
      </c>
      <c r="J492" s="10" t="str">
        <f t="shared" si="6"/>
        <v>Put Spread</v>
      </c>
      <c r="K492" s="10" t="str">
        <f t="shared" ca="1" si="7"/>
        <v>Success</v>
      </c>
    </row>
    <row r="493" spans="1:11" ht="16">
      <c r="A493" s="1" t="s">
        <v>512</v>
      </c>
      <c r="B493" s="7" t="s">
        <v>14</v>
      </c>
      <c r="C493" s="8">
        <v>152.44999999999999</v>
      </c>
      <c r="D493" s="8" t="s">
        <v>15</v>
      </c>
      <c r="E493" s="8">
        <v>138.97</v>
      </c>
      <c r="F493" s="8">
        <f ca="1">IFERROR(__xludf.DUMMYFUNCTION("INDEX(GOOGLEFINANCE(A493, ""open"", DATE(2025,2,3), DATE(2025,2,3)), 2, 2)"),145.15)</f>
        <v>145.15</v>
      </c>
      <c r="G493" s="8">
        <f ca="1">IFERROR(__xludf.DUMMYFUNCTION("INDEX(GOOGLEFINANCE(A493, ""close"", DATE(2025,2,7), DATE(2025,2,7)), 2, 2)"),150.12)</f>
        <v>150.12</v>
      </c>
      <c r="H493" s="9">
        <f t="shared" ca="1" si="4"/>
        <v>3.4240440923182902</v>
      </c>
      <c r="I493" s="10">
        <f t="shared" ca="1" si="5"/>
        <v>34.240440923182902</v>
      </c>
      <c r="J493" s="10" t="str">
        <f t="shared" si="6"/>
        <v>Put Spread</v>
      </c>
      <c r="K493" s="10" t="str">
        <f t="shared" ca="1" si="7"/>
        <v>Success</v>
      </c>
    </row>
    <row r="494" spans="1:11" ht="16">
      <c r="A494" s="1" t="s">
        <v>513</v>
      </c>
      <c r="B494" s="7" t="s">
        <v>14</v>
      </c>
      <c r="C494" s="8">
        <v>54.49</v>
      </c>
      <c r="D494" s="8" t="s">
        <v>15</v>
      </c>
      <c r="E494" s="8">
        <v>49.53</v>
      </c>
      <c r="F494" s="8">
        <f ca="1">IFERROR(__xludf.DUMMYFUNCTION("INDEX(GOOGLEFINANCE(A494, ""open"", DATE(2025,2,3), DATE(2025,2,3)), 2, 2)"),50.3)</f>
        <v>50.3</v>
      </c>
      <c r="G494" s="8">
        <f ca="1">IFERROR(__xludf.DUMMYFUNCTION("INDEX(GOOGLEFINANCE(A494, ""close"", DATE(2025,2,7), DATE(2025,2,7)), 2, 2)"),53.18)</f>
        <v>53.18</v>
      </c>
      <c r="H494" s="9">
        <f t="shared" ca="1" si="4"/>
        <v>5.725646123260443</v>
      </c>
      <c r="I494" s="10">
        <f t="shared" ca="1" si="5"/>
        <v>57.256461232604437</v>
      </c>
      <c r="J494" s="10" t="str">
        <f t="shared" si="6"/>
        <v>Put Spread</v>
      </c>
      <c r="K494" s="10" t="str">
        <f t="shared" ca="1" si="7"/>
        <v>Success</v>
      </c>
    </row>
    <row r="495" spans="1:11" ht="16">
      <c r="A495" s="1" t="s">
        <v>514</v>
      </c>
      <c r="B495" s="7" t="s">
        <v>38</v>
      </c>
      <c r="C495" s="8">
        <v>4.37</v>
      </c>
      <c r="D495" s="8" t="s">
        <v>39</v>
      </c>
      <c r="E495" s="8">
        <v>5.01</v>
      </c>
      <c r="F495" s="8">
        <f ca="1">IFERROR(__xludf.DUMMYFUNCTION("INDEX(GOOGLEFINANCE(A495, ""open"", DATE(2025,2,3), DATE(2025,2,3)), 2, 2)"),4.61)</f>
        <v>4.6100000000000003</v>
      </c>
      <c r="G495" s="8">
        <f ca="1">IFERROR(__xludf.DUMMYFUNCTION("INDEX(GOOGLEFINANCE(A495, ""close"", DATE(2025,2,7), DATE(2025,2,7)), 2, 2)"),4.77)</f>
        <v>4.7699999999999996</v>
      </c>
      <c r="H495" s="9">
        <f t="shared" ca="1" si="4"/>
        <v>-3.4707158351409815</v>
      </c>
      <c r="I495" s="10">
        <f t="shared" ca="1" si="5"/>
        <v>-34.707158351409817</v>
      </c>
      <c r="J495" s="10" t="str">
        <f t="shared" si="6"/>
        <v>Call Spread</v>
      </c>
      <c r="K495" s="10" t="str">
        <f t="shared" ca="1" si="7"/>
        <v>Success</v>
      </c>
    </row>
    <row r="496" spans="1:11" ht="16">
      <c r="A496" s="1" t="s">
        <v>515</v>
      </c>
      <c r="B496" s="7" t="s">
        <v>38</v>
      </c>
      <c r="C496" s="8">
        <v>94.78</v>
      </c>
      <c r="D496" s="8" t="s">
        <v>39</v>
      </c>
      <c r="E496" s="8">
        <v>102.86</v>
      </c>
      <c r="F496" s="8">
        <f ca="1">IFERROR(__xludf.DUMMYFUNCTION("INDEX(GOOGLEFINANCE(A496, ""open"", DATE(2025,2,3), DATE(2025,2,3)), 2, 2)"),98.13)</f>
        <v>98.13</v>
      </c>
      <c r="G496" s="8">
        <f ca="1">IFERROR(__xludf.DUMMYFUNCTION("INDEX(GOOGLEFINANCE(A496, ""close"", DATE(2025,2,7), DATE(2025,2,7)), 2, 2)"),87.28)</f>
        <v>87.28</v>
      </c>
      <c r="H496" s="9">
        <f t="shared" ca="1" si="4"/>
        <v>11.056761438907566</v>
      </c>
      <c r="I496" s="10">
        <f t="shared" ca="1" si="5"/>
        <v>110.56761438907566</v>
      </c>
      <c r="J496" s="10" t="str">
        <f t="shared" si="6"/>
        <v>Call Spread</v>
      </c>
      <c r="K496" s="10" t="str">
        <f t="shared" ca="1" si="7"/>
        <v>Success</v>
      </c>
    </row>
    <row r="497" spans="1:11" ht="16">
      <c r="A497" s="1" t="s">
        <v>516</v>
      </c>
      <c r="B497" s="7" t="s">
        <v>14</v>
      </c>
      <c r="C497" s="8">
        <v>42.85</v>
      </c>
      <c r="D497" s="8" t="s">
        <v>15</v>
      </c>
      <c r="E497" s="8">
        <v>35.99</v>
      </c>
      <c r="F497" s="8">
        <f ca="1">IFERROR(__xludf.DUMMYFUNCTION("INDEX(GOOGLEFINANCE(A497, ""open"", DATE(2025,2,3), DATE(2025,2,3)), 2, 2)"),38.21)</f>
        <v>38.21</v>
      </c>
      <c r="G497" s="8">
        <f ca="1">IFERROR(__xludf.DUMMYFUNCTION("INDEX(GOOGLEFINANCE(A497, ""close"", DATE(2025,2,7), DATE(2025,2,7)), 2, 2)"),32.6)</f>
        <v>32.6</v>
      </c>
      <c r="H497" s="9">
        <f t="shared" ca="1" si="4"/>
        <v>-14.682020413504315</v>
      </c>
      <c r="I497" s="10">
        <f t="shared" ca="1" si="5"/>
        <v>-146.82020413504316</v>
      </c>
      <c r="J497" s="10" t="str">
        <f t="shared" si="6"/>
        <v>Put Spread</v>
      </c>
      <c r="K497" s="10" t="str">
        <f t="shared" ca="1" si="7"/>
        <v>No</v>
      </c>
    </row>
    <row r="498" spans="1:11" ht="16">
      <c r="A498" s="1" t="s">
        <v>517</v>
      </c>
      <c r="B498" s="7" t="s">
        <v>14</v>
      </c>
      <c r="C498" s="8">
        <v>122.93</v>
      </c>
      <c r="D498" s="8" t="s">
        <v>15</v>
      </c>
      <c r="E498" s="8">
        <v>102.79</v>
      </c>
      <c r="F498" s="8">
        <f ca="1">IFERROR(__xludf.DUMMYFUNCTION("INDEX(GOOGLEFINANCE(A498, ""open"", DATE(2025,2,3), DATE(2025,2,3)), 2, 2)"),108.74)</f>
        <v>108.74</v>
      </c>
      <c r="G498" s="8">
        <f ca="1">IFERROR(__xludf.DUMMYFUNCTION("INDEX(GOOGLEFINANCE(A498, ""close"", DATE(2025,2,7), DATE(2025,2,7)), 2, 2)"),110.62)</f>
        <v>110.62</v>
      </c>
      <c r="H498" s="9">
        <f t="shared" ca="1" si="4"/>
        <v>1.7288946109987213</v>
      </c>
      <c r="I498" s="10">
        <f t="shared" ca="1" si="5"/>
        <v>17.288946109987215</v>
      </c>
      <c r="J498" s="10" t="str">
        <f t="shared" si="6"/>
        <v>Put Spread</v>
      </c>
      <c r="K498" s="10" t="str">
        <f t="shared" ca="1" si="7"/>
        <v>Success</v>
      </c>
    </row>
    <row r="499" spans="1:11" ht="16">
      <c r="A499" s="1" t="s">
        <v>518</v>
      </c>
      <c r="B499" s="7" t="s">
        <v>14</v>
      </c>
      <c r="C499" s="8">
        <v>143.06</v>
      </c>
      <c r="D499" s="8" t="s">
        <v>15</v>
      </c>
      <c r="E499" s="8">
        <v>133.80000000000001</v>
      </c>
      <c r="F499" s="8">
        <f ca="1">IFERROR(__xludf.DUMMYFUNCTION("INDEX(GOOGLEFINANCE(A499, ""open"", DATE(2025,2,3), DATE(2025,2,3)), 2, 2)"),135.81)</f>
        <v>135.81</v>
      </c>
      <c r="G499" s="8">
        <f ca="1">IFERROR(__xludf.DUMMYFUNCTION("INDEX(GOOGLEFINANCE(A499, ""close"", DATE(2025,2,7), DATE(2025,2,7)), 2, 2)"),139.98)</f>
        <v>139.97999999999999</v>
      </c>
      <c r="H499" s="9">
        <f t="shared" ca="1" si="4"/>
        <v>3.0704660923348706</v>
      </c>
      <c r="I499" s="10">
        <f t="shared" ca="1" si="5"/>
        <v>30.704660923348705</v>
      </c>
      <c r="J499" s="10" t="str">
        <f t="shared" si="6"/>
        <v>Put Spread</v>
      </c>
      <c r="K499" s="10" t="str">
        <f t="shared" ca="1" si="7"/>
        <v>Success</v>
      </c>
    </row>
    <row r="500" spans="1:11" ht="16">
      <c r="A500" s="1" t="s">
        <v>519</v>
      </c>
      <c r="B500" s="7" t="s">
        <v>14</v>
      </c>
      <c r="C500" s="8">
        <v>428.19</v>
      </c>
      <c r="D500" s="8" t="s">
        <v>15</v>
      </c>
      <c r="E500" s="8">
        <v>401.93</v>
      </c>
      <c r="F500" s="8">
        <f ca="1">IFERROR(__xludf.DUMMYFUNCTION("INDEX(GOOGLEFINANCE(A500, ""open"", DATE(2025,2,3), DATE(2025,2,3)), 2, 2)"),411.6)</f>
        <v>411.6</v>
      </c>
      <c r="G500" s="8">
        <f ca="1">IFERROR(__xludf.DUMMYFUNCTION("INDEX(GOOGLEFINANCE(A500, ""close"", DATE(2025,2,7), DATE(2025,2,7)), 2, 2)"),409.75)</f>
        <v>409.75</v>
      </c>
      <c r="H500" s="9">
        <f t="shared" ca="1" si="4"/>
        <v>-0.44946550048591422</v>
      </c>
      <c r="I500" s="10">
        <f t="shared" ca="1" si="5"/>
        <v>-4.4946550048591423</v>
      </c>
      <c r="J500" s="10" t="str">
        <f t="shared" si="6"/>
        <v>Put Spread</v>
      </c>
      <c r="K500" s="10" t="str">
        <f t="shared" ca="1" si="7"/>
        <v>Success</v>
      </c>
    </row>
    <row r="501" spans="1:11" ht="16">
      <c r="A501" s="1" t="s">
        <v>520</v>
      </c>
      <c r="B501" s="7" t="s">
        <v>14</v>
      </c>
      <c r="C501" s="8">
        <v>3.78</v>
      </c>
      <c r="D501" s="8" t="s">
        <v>15</v>
      </c>
      <c r="E501" s="8">
        <v>3.02</v>
      </c>
      <c r="F501" s="8">
        <f ca="1">IFERROR(__xludf.DUMMYFUNCTION("INDEX(GOOGLEFINANCE(A501, ""open"", DATE(2025,2,3), DATE(2025,2,3)), 2, 2)"),3.33)</f>
        <v>3.33</v>
      </c>
      <c r="G501" s="8">
        <f ca="1">IFERROR(__xludf.DUMMYFUNCTION("INDEX(GOOGLEFINANCE(A501, ""close"", DATE(2025,2,7), DATE(2025,2,7)), 2, 2)"),3.54)</f>
        <v>3.54</v>
      </c>
      <c r="H501" s="9">
        <f t="shared" ca="1" si="4"/>
        <v>6.3063063063063058</v>
      </c>
      <c r="I501" s="10">
        <f t="shared" ca="1" si="5"/>
        <v>63.063063063063055</v>
      </c>
      <c r="J501" s="10" t="str">
        <f t="shared" si="6"/>
        <v>Put Spread</v>
      </c>
      <c r="K501" s="10" t="str">
        <f t="shared" ca="1" si="7"/>
        <v>Success</v>
      </c>
    </row>
    <row r="502" spans="1:11" ht="16">
      <c r="A502" s="1" t="s">
        <v>521</v>
      </c>
      <c r="B502" s="7" t="s">
        <v>14</v>
      </c>
      <c r="C502" s="8">
        <v>8.85</v>
      </c>
      <c r="D502" s="8" t="s">
        <v>15</v>
      </c>
      <c r="E502" s="8">
        <v>5.43</v>
      </c>
      <c r="F502" s="8">
        <f ca="1">IFERROR(__xludf.DUMMYFUNCTION("INDEX(GOOGLEFINANCE(A502, ""open"", DATE(2025,2,3), DATE(2025,2,3)), 2, 2)"),6.85)</f>
        <v>6.85</v>
      </c>
      <c r="G502" s="8">
        <f ca="1">IFERROR(__xludf.DUMMYFUNCTION("INDEX(GOOGLEFINANCE(A502, ""close"", DATE(2025,2,7), DATE(2025,2,7)), 2, 2)"),7.66)</f>
        <v>7.66</v>
      </c>
      <c r="H502" s="9">
        <f t="shared" ca="1" si="4"/>
        <v>11.824817518248183</v>
      </c>
      <c r="I502" s="10">
        <f t="shared" ca="1" si="5"/>
        <v>118.24817518248183</v>
      </c>
      <c r="J502" s="10" t="str">
        <f t="shared" si="6"/>
        <v>Put Spread</v>
      </c>
      <c r="K502" s="10" t="str">
        <f t="shared" ca="1" si="7"/>
        <v>Success</v>
      </c>
    </row>
    <row r="503" spans="1:11" ht="16">
      <c r="A503" s="1" t="s">
        <v>522</v>
      </c>
      <c r="B503" s="7" t="s">
        <v>14</v>
      </c>
      <c r="C503" s="8">
        <v>377.65</v>
      </c>
      <c r="D503" s="8" t="s">
        <v>15</v>
      </c>
      <c r="E503" s="8">
        <v>291.93</v>
      </c>
      <c r="F503" s="8">
        <f ca="1">IFERROR(__xludf.DUMMYFUNCTION("INDEX(GOOGLEFINANCE(A503, ""open"", DATE(2025,2,3), DATE(2025,2,3)), 2, 2)"),310)</f>
        <v>310</v>
      </c>
      <c r="G503" s="8">
        <f ca="1">IFERROR(__xludf.DUMMYFUNCTION("INDEX(GOOGLEFINANCE(A503, ""close"", DATE(2025,2,7), DATE(2025,2,7)), 2, 2)"),327.56)</f>
        <v>327.56</v>
      </c>
      <c r="H503" s="9">
        <f t="shared" ca="1" si="4"/>
        <v>5.6645161290322585</v>
      </c>
      <c r="I503" s="10">
        <f t="shared" ca="1" si="5"/>
        <v>56.645161290322584</v>
      </c>
      <c r="J503" s="10" t="str">
        <f t="shared" si="6"/>
        <v>Put Spread</v>
      </c>
      <c r="K503" s="10" t="str">
        <f t="shared" ca="1" si="7"/>
        <v>Success</v>
      </c>
    </row>
    <row r="504" spans="1:11" ht="16">
      <c r="A504" s="1" t="s">
        <v>523</v>
      </c>
      <c r="B504" s="7" t="s">
        <v>14</v>
      </c>
      <c r="C504" s="8">
        <v>37.58</v>
      </c>
      <c r="D504" s="8" t="s">
        <v>15</v>
      </c>
      <c r="E504" s="8">
        <v>33.82</v>
      </c>
      <c r="F504" s="8">
        <f ca="1">IFERROR(__xludf.DUMMYFUNCTION("INDEX(GOOGLEFINANCE(A504, ""open"", DATE(2025,2,3), DATE(2025,2,3)), 2, 2)"),35.08)</f>
        <v>35.08</v>
      </c>
      <c r="G504" s="8">
        <f ca="1">IFERROR(__xludf.DUMMYFUNCTION("INDEX(GOOGLEFINANCE(A504, ""close"", DATE(2025,2,7), DATE(2025,2,7)), 2, 2)"),33.8)</f>
        <v>33.799999999999997</v>
      </c>
      <c r="H504" s="9">
        <f t="shared" ca="1" si="4"/>
        <v>-3.6488027366020561</v>
      </c>
      <c r="I504" s="10">
        <f t="shared" ca="1" si="5"/>
        <v>-36.48802736602056</v>
      </c>
      <c r="J504" s="10" t="str">
        <f t="shared" si="6"/>
        <v>Put Spread</v>
      </c>
      <c r="K504" s="10" t="str">
        <f t="shared" ca="1" si="7"/>
        <v>No</v>
      </c>
    </row>
    <row r="505" spans="1:11" ht="16">
      <c r="A505" s="1" t="s">
        <v>524</v>
      </c>
      <c r="B505" s="7" t="s">
        <v>38</v>
      </c>
      <c r="C505" s="8">
        <v>85.22</v>
      </c>
      <c r="D505" s="8" t="s">
        <v>39</v>
      </c>
      <c r="E505" s="8">
        <v>97.26</v>
      </c>
      <c r="F505" s="8">
        <f ca="1">IFERROR(__xludf.DUMMYFUNCTION("INDEX(GOOGLEFINANCE(A505, ""open"", DATE(2025,2,3), DATE(2025,2,3)), 2, 2)"),88.65)</f>
        <v>88.65</v>
      </c>
      <c r="G505" s="8">
        <f ca="1">IFERROR(__xludf.DUMMYFUNCTION("INDEX(GOOGLEFINANCE(A505, ""close"", DATE(2025,2,7), DATE(2025,2,7)), 2, 2)"),92.3)</f>
        <v>92.3</v>
      </c>
      <c r="H505" s="9">
        <f t="shared" ca="1" si="4"/>
        <v>-4.1173152848279653</v>
      </c>
      <c r="I505" s="10">
        <f t="shared" ca="1" si="5"/>
        <v>-41.173152848279649</v>
      </c>
      <c r="J505" s="10" t="str">
        <f t="shared" si="6"/>
        <v>Call Spread</v>
      </c>
      <c r="K505" s="10" t="str">
        <f t="shared" ca="1" si="7"/>
        <v>Success</v>
      </c>
    </row>
    <row r="506" spans="1:11" ht="16">
      <c r="A506" s="1" t="s">
        <v>525</v>
      </c>
      <c r="B506" s="7" t="s">
        <v>38</v>
      </c>
      <c r="C506" s="8">
        <v>105.81</v>
      </c>
      <c r="D506" s="8" t="s">
        <v>39</v>
      </c>
      <c r="E506" s="8">
        <v>107.27</v>
      </c>
      <c r="F506" s="8">
        <f ca="1">IFERROR(__xludf.DUMMYFUNCTION("INDEX(GOOGLEFINANCE(A506, ""open"", DATE(2025,2,3), DATE(2025,2,3)), 2, 2)"),106.52)</f>
        <v>106.52</v>
      </c>
      <c r="G506" s="8">
        <f ca="1">IFERROR(__xludf.DUMMYFUNCTION("INDEX(GOOGLEFINANCE(A506, ""close"", DATE(2025,2,7), DATE(2025,2,7)), 2, 2)"),106.71)</f>
        <v>106.71</v>
      </c>
      <c r="H506" s="9">
        <f t="shared" ca="1" si="4"/>
        <v>-0.178370259106269</v>
      </c>
      <c r="I506" s="10">
        <f t="shared" ca="1" si="5"/>
        <v>-1.78370259106269</v>
      </c>
      <c r="J506" s="10" t="str">
        <f t="shared" si="6"/>
        <v>Call Spread</v>
      </c>
      <c r="K506" s="10" t="str">
        <f t="shared" ca="1" si="7"/>
        <v>Success</v>
      </c>
    </row>
    <row r="507" spans="1:11" ht="16">
      <c r="A507" s="1" t="s">
        <v>526</v>
      </c>
      <c r="B507" s="7" t="s">
        <v>14</v>
      </c>
      <c r="C507" s="8">
        <v>2.96</v>
      </c>
      <c r="D507" s="8" t="s">
        <v>15</v>
      </c>
      <c r="E507" s="8">
        <v>0.22</v>
      </c>
      <c r="F507" s="8">
        <f ca="1">IFERROR(__xludf.DUMMYFUNCTION("INDEX(GOOGLEFINANCE(A507, ""open"", DATE(2025,2,3), DATE(2025,2,3)), 2, 2)"),1.47)</f>
        <v>1.47</v>
      </c>
      <c r="G507" s="8">
        <f ca="1">IFERROR(__xludf.DUMMYFUNCTION("INDEX(GOOGLEFINANCE(A507, ""close"", DATE(2025,2,7), DATE(2025,2,7)), 2, 2)"),1.51)</f>
        <v>1.51</v>
      </c>
      <c r="H507" s="9">
        <f t="shared" ca="1" si="4"/>
        <v>2.7210884353741518</v>
      </c>
      <c r="I507" s="10">
        <f t="shared" ca="1" si="5"/>
        <v>27.210884353741516</v>
      </c>
      <c r="J507" s="10" t="str">
        <f t="shared" si="6"/>
        <v>Put Spread</v>
      </c>
      <c r="K507" s="10" t="str">
        <f t="shared" ca="1" si="7"/>
        <v>Success</v>
      </c>
    </row>
    <row r="508" spans="1:11" ht="16">
      <c r="A508" s="1" t="s">
        <v>527</v>
      </c>
      <c r="B508" s="7" t="s">
        <v>14</v>
      </c>
      <c r="C508" s="8">
        <v>102.34</v>
      </c>
      <c r="D508" s="8" t="s">
        <v>15</v>
      </c>
      <c r="E508" s="8">
        <v>81.44</v>
      </c>
      <c r="F508" s="8">
        <f ca="1">IFERROR(__xludf.DUMMYFUNCTION("INDEX(GOOGLEFINANCE(A508, ""open"", DATE(2025,2,3), DATE(2025,2,3)), 2, 2)"),86.28)</f>
        <v>86.28</v>
      </c>
      <c r="G508" s="8">
        <f ca="1">IFERROR(__xludf.DUMMYFUNCTION("INDEX(GOOGLEFINANCE(A508, ""close"", DATE(2025,2,7), DATE(2025,2,7)), 2, 2)"),80.32)</f>
        <v>80.319999999999993</v>
      </c>
      <c r="H508" s="9">
        <f t="shared" ca="1" si="4"/>
        <v>-6.907742234585081</v>
      </c>
      <c r="I508" s="10">
        <f t="shared" ca="1" si="5"/>
        <v>-69.077422345850806</v>
      </c>
      <c r="J508" s="10" t="str">
        <f t="shared" si="6"/>
        <v>Put Spread</v>
      </c>
      <c r="K508" s="10" t="str">
        <f t="shared" ca="1" si="7"/>
        <v>No</v>
      </c>
    </row>
    <row r="509" spans="1:11" ht="16">
      <c r="A509" s="1" t="s">
        <v>528</v>
      </c>
      <c r="B509" s="7" t="s">
        <v>14</v>
      </c>
      <c r="C509" s="8">
        <v>2.87</v>
      </c>
      <c r="D509" s="8" t="s">
        <v>15</v>
      </c>
      <c r="E509" s="8">
        <v>2.5299999999999998</v>
      </c>
      <c r="F509" s="8">
        <f ca="1">IFERROR(__xludf.DUMMYFUNCTION("INDEX(GOOGLEFINANCE(A509, ""open"", DATE(2025,2,3), DATE(2025,2,3)), 2, 2)"),2.68)</f>
        <v>2.68</v>
      </c>
      <c r="G509" s="8">
        <f ca="1">IFERROR(__xludf.DUMMYFUNCTION("INDEX(GOOGLEFINANCE(A509, ""close"", DATE(2025,2,7), DATE(2025,2,7)), 2, 2)"),2.71)</f>
        <v>2.71</v>
      </c>
      <c r="H509" s="9">
        <f t="shared" ca="1" si="4"/>
        <v>1.1194029850746194</v>
      </c>
      <c r="I509" s="10">
        <f t="shared" ca="1" si="5"/>
        <v>11.194029850746194</v>
      </c>
      <c r="J509" s="10" t="str">
        <f t="shared" si="6"/>
        <v>Put Spread</v>
      </c>
      <c r="K509" s="10" t="str">
        <f t="shared" ca="1" si="7"/>
        <v>Success</v>
      </c>
    </row>
    <row r="510" spans="1:11" ht="16">
      <c r="A510" s="1" t="s">
        <v>529</v>
      </c>
      <c r="B510" s="7" t="s">
        <v>14</v>
      </c>
      <c r="C510" s="8">
        <v>30.23</v>
      </c>
      <c r="D510" s="8" t="s">
        <v>15</v>
      </c>
      <c r="E510" s="8">
        <v>26.47</v>
      </c>
      <c r="F510" s="8">
        <f ca="1">IFERROR(__xludf.DUMMYFUNCTION("INDEX(GOOGLEFINANCE(A510, ""open"", DATE(2025,2,3), DATE(2025,2,3)), 2, 2)"),27.08)</f>
        <v>27.08</v>
      </c>
      <c r="G510" s="8">
        <f ca="1">IFERROR(__xludf.DUMMYFUNCTION("INDEX(GOOGLEFINANCE(A510, ""close"", DATE(2025,2,7), DATE(2025,2,7)), 2, 2)"),27.33)</f>
        <v>27.33</v>
      </c>
      <c r="H510" s="9">
        <f t="shared" ca="1" si="4"/>
        <v>0.92319054652880361</v>
      </c>
      <c r="I510" s="10">
        <f t="shared" ca="1" si="5"/>
        <v>9.231905465288035</v>
      </c>
      <c r="J510" s="10" t="str">
        <f t="shared" si="6"/>
        <v>Put Spread</v>
      </c>
      <c r="K510" s="10" t="str">
        <f t="shared" ca="1" si="7"/>
        <v>Success</v>
      </c>
    </row>
    <row r="511" spans="1:11" ht="16">
      <c r="A511" s="1" t="s">
        <v>530</v>
      </c>
      <c r="B511" s="7" t="s">
        <v>14</v>
      </c>
      <c r="C511" s="8">
        <v>22013.34</v>
      </c>
      <c r="D511" s="8" t="s">
        <v>15</v>
      </c>
      <c r="E511" s="8">
        <v>20942.759999999998</v>
      </c>
      <c r="F511" s="8">
        <f ca="1">IFERROR(__xludf.DUMMYFUNCTION("INDEX(GOOGLEFINANCE(A511, ""open"", DATE(2025,2,3), DATE(2025,2,3)), 2, 2)"),21084.64)</f>
        <v>21084.639999999999</v>
      </c>
      <c r="G511" s="8">
        <f ca="1">IFERROR(__xludf.DUMMYFUNCTION("INDEX(GOOGLEFINANCE(A511, ""close"", DATE(2025,2,7), DATE(2025,2,7)), 2, 2)"),21491.31)</f>
        <v>21491.31</v>
      </c>
      <c r="H511" s="9">
        <f t="shared" ca="1" si="4"/>
        <v>1.9287500284567434</v>
      </c>
      <c r="I511" s="10">
        <f t="shared" ca="1" si="5"/>
        <v>19.287500284567432</v>
      </c>
      <c r="J511" s="10" t="str">
        <f t="shared" si="6"/>
        <v>Put Spread</v>
      </c>
      <c r="K511" s="10" t="str">
        <f t="shared" ca="1" si="7"/>
        <v>Success</v>
      </c>
    </row>
    <row r="512" spans="1:11" ht="16">
      <c r="A512" s="1" t="s">
        <v>531</v>
      </c>
      <c r="B512" s="7" t="s">
        <v>14</v>
      </c>
      <c r="C512" s="8">
        <v>73.739999999999995</v>
      </c>
      <c r="D512" s="8" t="s">
        <v>15</v>
      </c>
      <c r="E512" s="8">
        <v>69.38</v>
      </c>
      <c r="F512" s="8">
        <f ca="1">IFERROR(__xludf.DUMMYFUNCTION("INDEX(GOOGLEFINANCE(A512, ""open"", DATE(2025,2,3), DATE(2025,2,3)), 2, 2)"),70.5)</f>
        <v>70.5</v>
      </c>
      <c r="G512" s="8">
        <f ca="1">IFERROR(__xludf.DUMMYFUNCTION("INDEX(GOOGLEFINANCE(A512, ""close"", DATE(2025,2,7), DATE(2025,2,7)), 2, 2)"),68.27)</f>
        <v>68.27</v>
      </c>
      <c r="H512" s="9">
        <f t="shared" ca="1" si="4"/>
        <v>-3.1631205673758918</v>
      </c>
      <c r="I512" s="10">
        <f t="shared" ca="1" si="5"/>
        <v>-31.631205673758917</v>
      </c>
      <c r="J512" s="10" t="str">
        <f t="shared" si="6"/>
        <v>Put Spread</v>
      </c>
      <c r="K512" s="10" t="str">
        <f t="shared" ca="1" si="7"/>
        <v>No</v>
      </c>
    </row>
    <row r="513" spans="1:11" ht="16">
      <c r="A513" s="1" t="s">
        <v>532</v>
      </c>
      <c r="B513" s="7" t="s">
        <v>14</v>
      </c>
      <c r="C513" s="8">
        <v>44.89</v>
      </c>
      <c r="D513" s="8" t="s">
        <v>15</v>
      </c>
      <c r="E513" s="8">
        <v>40.549999999999997</v>
      </c>
      <c r="F513" s="8">
        <f ca="1">IFERROR(__xludf.DUMMYFUNCTION("INDEX(GOOGLEFINANCE(A513, ""open"", DATE(2025,2,3), DATE(2025,2,3)), 2, 2)"),42.9)</f>
        <v>42.9</v>
      </c>
      <c r="G513" s="8">
        <f ca="1">IFERROR(__xludf.DUMMYFUNCTION("INDEX(GOOGLEFINANCE(A513, ""close"", DATE(2025,2,7), DATE(2025,2,7)), 2, 2)"),44.84)</f>
        <v>44.84</v>
      </c>
      <c r="H513" s="9">
        <f t="shared" ref="H513:H767" ca="1" si="8">IF(B513="Bullish",((G513-F513)/F513*100),((F513-G513)/F513*100))</f>
        <v>4.5221445221445329</v>
      </c>
      <c r="I513" s="10">
        <f t="shared" ref="I513:I767" ca="1" si="9">1000*H513/100</f>
        <v>45.221445221445329</v>
      </c>
      <c r="J513" s="10" t="str">
        <f t="shared" ref="J513:J767" si="10">IF(B513="Bullish","Put Spread","Call Spread")</f>
        <v>Put Spread</v>
      </c>
      <c r="K513" s="10" t="str">
        <f t="shared" ref="K513:K767" ca="1" si="11">IF(B513="Bullish",IF(G513-E513&gt;0,"Success","No"),IF(B513="Bearish",IF(E513-G513&gt;0,"Success","No")))</f>
        <v>Success</v>
      </c>
    </row>
    <row r="514" spans="1:11" ht="16">
      <c r="A514" s="1" t="s">
        <v>533</v>
      </c>
      <c r="B514" s="7" t="s">
        <v>14</v>
      </c>
      <c r="C514" s="8">
        <v>150.13999999999999</v>
      </c>
      <c r="D514" s="8" t="s">
        <v>15</v>
      </c>
      <c r="E514" s="8">
        <v>126.66</v>
      </c>
      <c r="F514" s="8">
        <f ca="1">IFERROR(__xludf.DUMMYFUNCTION("INDEX(GOOGLEFINANCE(A514, ""open"", DATE(2025,2,3), DATE(2025,2,3)), 2, 2)"),133)</f>
        <v>133</v>
      </c>
      <c r="G514" s="8">
        <f ca="1">IFERROR(__xludf.DUMMYFUNCTION("INDEX(GOOGLEFINANCE(A514, ""close"", DATE(2025,2,7), DATE(2025,2,7)), 2, 2)"),166.66)</f>
        <v>166.66</v>
      </c>
      <c r="H514" s="9">
        <f t="shared" ca="1" si="8"/>
        <v>25.308270676691723</v>
      </c>
      <c r="I514" s="10">
        <f t="shared" ca="1" si="9"/>
        <v>253.08270676691723</v>
      </c>
      <c r="J514" s="10" t="str">
        <f t="shared" si="10"/>
        <v>Put Spread</v>
      </c>
      <c r="K514" s="10" t="str">
        <f t="shared" ca="1" si="11"/>
        <v>Success</v>
      </c>
    </row>
    <row r="515" spans="1:11" ht="16">
      <c r="A515" s="1" t="s">
        <v>534</v>
      </c>
      <c r="B515" s="7" t="s">
        <v>14</v>
      </c>
      <c r="C515" s="8">
        <v>16.670000000000002</v>
      </c>
      <c r="D515" s="8" t="s">
        <v>15</v>
      </c>
      <c r="E515" s="8">
        <v>13.33</v>
      </c>
      <c r="F515" s="8">
        <f ca="1">IFERROR(__xludf.DUMMYFUNCTION("INDEX(GOOGLEFINANCE(A515, ""open"", DATE(2025,2,3), DATE(2025,2,3)), 2, 2)"),14.6)</f>
        <v>14.6</v>
      </c>
      <c r="G515" s="8">
        <f ca="1">IFERROR(__xludf.DUMMYFUNCTION("INDEX(GOOGLEFINANCE(A515, ""close"", DATE(2025,2,7), DATE(2025,2,7)), 2, 2)"),12.26)</f>
        <v>12.26</v>
      </c>
      <c r="H515" s="9">
        <f t="shared" ca="1" si="8"/>
        <v>-16.027397260273972</v>
      </c>
      <c r="I515" s="10">
        <f t="shared" ca="1" si="9"/>
        <v>-160.27397260273972</v>
      </c>
      <c r="J515" s="10" t="str">
        <f t="shared" si="10"/>
        <v>Put Spread</v>
      </c>
      <c r="K515" s="10" t="str">
        <f t="shared" ca="1" si="11"/>
        <v>No</v>
      </c>
    </row>
    <row r="516" spans="1:11" ht="16">
      <c r="A516" s="1" t="s">
        <v>535</v>
      </c>
      <c r="B516" s="7" t="s">
        <v>14</v>
      </c>
      <c r="C516" s="8">
        <v>1012.22</v>
      </c>
      <c r="D516" s="8" t="s">
        <v>15</v>
      </c>
      <c r="E516" s="8">
        <v>941.3</v>
      </c>
      <c r="F516" s="8">
        <f ca="1">IFERROR(__xludf.DUMMYFUNCTION("INDEX(GOOGLEFINANCE(A516, ""open"", DATE(2025,2,3), DATE(2025,2,3)), 2, 2)"),973)</f>
        <v>973</v>
      </c>
      <c r="G516" s="8">
        <f ca="1">IFERROR(__xludf.DUMMYFUNCTION("INDEX(GOOGLEFINANCE(A516, ""close"", DATE(2025,2,7), DATE(2025,2,7)), 2, 2)"),1013.93)</f>
        <v>1013.93</v>
      </c>
      <c r="H516" s="9">
        <f t="shared" ca="1" si="8"/>
        <v>4.2065775950667987</v>
      </c>
      <c r="I516" s="10">
        <f t="shared" ca="1" si="9"/>
        <v>42.065775950667984</v>
      </c>
      <c r="J516" s="10" t="str">
        <f t="shared" si="10"/>
        <v>Put Spread</v>
      </c>
      <c r="K516" s="10" t="str">
        <f t="shared" ca="1" si="11"/>
        <v>Success</v>
      </c>
    </row>
    <row r="517" spans="1:11" ht="16">
      <c r="A517" s="1" t="s">
        <v>536</v>
      </c>
      <c r="B517" s="7" t="s">
        <v>14</v>
      </c>
      <c r="C517" s="8">
        <v>4.7699999999999996</v>
      </c>
      <c r="D517" s="8" t="s">
        <v>15</v>
      </c>
      <c r="E517" s="8">
        <v>3.87</v>
      </c>
      <c r="F517" s="8">
        <f ca="1">IFERROR(__xludf.DUMMYFUNCTION("INDEX(GOOGLEFINANCE(A517, ""open"", DATE(2025,2,3), DATE(2025,2,3)), 2, 2)"),4.17)</f>
        <v>4.17</v>
      </c>
      <c r="G517" s="8">
        <f ca="1">IFERROR(__xludf.DUMMYFUNCTION("INDEX(GOOGLEFINANCE(A517, ""close"", DATE(2025,2,7), DATE(2025,2,7)), 2, 2)"),4.24)</f>
        <v>4.24</v>
      </c>
      <c r="H517" s="9">
        <f t="shared" ca="1" si="8"/>
        <v>1.6786570743405345</v>
      </c>
      <c r="I517" s="10">
        <f t="shared" ca="1" si="9"/>
        <v>16.786570743405345</v>
      </c>
      <c r="J517" s="10" t="str">
        <f t="shared" si="10"/>
        <v>Put Spread</v>
      </c>
      <c r="K517" s="10" t="str">
        <f t="shared" ca="1" si="11"/>
        <v>Success</v>
      </c>
    </row>
    <row r="518" spans="1:11" ht="16">
      <c r="A518" s="1" t="s">
        <v>537</v>
      </c>
      <c r="B518" s="7" t="s">
        <v>14</v>
      </c>
      <c r="C518" s="8">
        <v>79.849999999999994</v>
      </c>
      <c r="D518" s="8" t="s">
        <v>15</v>
      </c>
      <c r="E518" s="8">
        <v>73.95</v>
      </c>
      <c r="F518" s="8">
        <f ca="1">IFERROR(__xludf.DUMMYFUNCTION("INDEX(GOOGLEFINANCE(A518, ""open"", DATE(2025,2,3), DATE(2025,2,3)), 2, 2)"),74.9)</f>
        <v>74.900000000000006</v>
      </c>
      <c r="G518" s="8">
        <f ca="1">IFERROR(__xludf.DUMMYFUNCTION("INDEX(GOOGLEFINANCE(A518, ""close"", DATE(2025,2,7), DATE(2025,2,7)), 2, 2)"),68.68)</f>
        <v>68.680000000000007</v>
      </c>
      <c r="H518" s="9">
        <f t="shared" ca="1" si="8"/>
        <v>-8.3044058744993308</v>
      </c>
      <c r="I518" s="10">
        <f t="shared" ca="1" si="9"/>
        <v>-83.044058744993308</v>
      </c>
      <c r="J518" s="10" t="str">
        <f t="shared" si="10"/>
        <v>Put Spread</v>
      </c>
      <c r="K518" s="10" t="str">
        <f t="shared" ca="1" si="11"/>
        <v>No</v>
      </c>
    </row>
    <row r="519" spans="1:11" ht="16">
      <c r="A519" s="1" t="s">
        <v>538</v>
      </c>
      <c r="B519" s="7" t="s">
        <v>38</v>
      </c>
      <c r="C519" s="8">
        <v>0.42</v>
      </c>
      <c r="D519" s="8" t="s">
        <v>39</v>
      </c>
      <c r="E519" s="8">
        <v>1.1599999999999999</v>
      </c>
      <c r="F519" s="8">
        <f ca="1">IFERROR(__xludf.DUMMYFUNCTION("INDEX(GOOGLEFINANCE(A519, ""open"", DATE(2025,2,3), DATE(2025,2,3)), 2, 2)"),0.75)</f>
        <v>0.75</v>
      </c>
      <c r="G519" s="8">
        <f ca="1">IFERROR(__xludf.DUMMYFUNCTION("INDEX(GOOGLEFINANCE(A519, ""close"", DATE(2025,2,7), DATE(2025,2,7)), 2, 2)"),0.44)</f>
        <v>0.44</v>
      </c>
      <c r="H519" s="9">
        <f t="shared" ca="1" si="8"/>
        <v>41.333333333333336</v>
      </c>
      <c r="I519" s="10">
        <f t="shared" ca="1" si="9"/>
        <v>413.33333333333337</v>
      </c>
      <c r="J519" s="10" t="str">
        <f t="shared" si="10"/>
        <v>Call Spread</v>
      </c>
      <c r="K519" s="10" t="str">
        <f t="shared" ca="1" si="11"/>
        <v>Success</v>
      </c>
    </row>
    <row r="520" spans="1:11" ht="16">
      <c r="A520" s="1" t="s">
        <v>539</v>
      </c>
      <c r="B520" s="7" t="s">
        <v>14</v>
      </c>
      <c r="C520" s="8">
        <v>22.1</v>
      </c>
      <c r="D520" s="8" t="s">
        <v>15</v>
      </c>
      <c r="E520" s="8">
        <v>18.72</v>
      </c>
      <c r="F520" s="8">
        <f ca="1">IFERROR(__xludf.DUMMYFUNCTION("INDEX(GOOGLEFINANCE(A520, ""open"", DATE(2025,2,3), DATE(2025,2,3)), 2, 2)"),19.93)</f>
        <v>19.93</v>
      </c>
      <c r="G520" s="8">
        <f ca="1">IFERROR(__xludf.DUMMYFUNCTION("INDEX(GOOGLEFINANCE(A520, ""close"", DATE(2025,2,7), DATE(2025,2,7)), 2, 2)"),20.53)</f>
        <v>20.53</v>
      </c>
      <c r="H520" s="9">
        <f t="shared" ca="1" si="8"/>
        <v>3.0105368790767759</v>
      </c>
      <c r="I520" s="10">
        <f t="shared" ca="1" si="9"/>
        <v>30.105368790767763</v>
      </c>
      <c r="J520" s="10" t="str">
        <f t="shared" si="10"/>
        <v>Put Spread</v>
      </c>
      <c r="K520" s="10" t="str">
        <f t="shared" ca="1" si="11"/>
        <v>Success</v>
      </c>
    </row>
    <row r="521" spans="1:11" ht="16">
      <c r="A521" s="1" t="s">
        <v>540</v>
      </c>
      <c r="B521" s="7" t="s">
        <v>14</v>
      </c>
      <c r="C521" s="8">
        <v>14.17</v>
      </c>
      <c r="D521" s="8" t="s">
        <v>15</v>
      </c>
      <c r="E521" s="8">
        <v>10.69</v>
      </c>
      <c r="F521" s="8">
        <f ca="1">IFERROR(__xludf.DUMMYFUNCTION("INDEX(GOOGLEFINANCE(A521, ""open"", DATE(2025,2,3), DATE(2025,2,3)), 2, 2)"),12.11)</f>
        <v>12.11</v>
      </c>
      <c r="G521" s="8">
        <f ca="1">IFERROR(__xludf.DUMMYFUNCTION("INDEX(GOOGLEFINANCE(A521, ""close"", DATE(2025,2,7), DATE(2025,2,7)), 2, 2)"),12.1)</f>
        <v>12.1</v>
      </c>
      <c r="H521" s="9">
        <f t="shared" ca="1" si="8"/>
        <v>-8.257638315441608E-2</v>
      </c>
      <c r="I521" s="10">
        <f t="shared" ca="1" si="9"/>
        <v>-0.82576383154416078</v>
      </c>
      <c r="J521" s="10" t="str">
        <f t="shared" si="10"/>
        <v>Put Spread</v>
      </c>
      <c r="K521" s="10" t="str">
        <f t="shared" ca="1" si="11"/>
        <v>Success</v>
      </c>
    </row>
    <row r="522" spans="1:11" ht="16">
      <c r="A522" s="1" t="s">
        <v>541</v>
      </c>
      <c r="B522" s="7" t="s">
        <v>14</v>
      </c>
      <c r="C522" s="8">
        <v>8.1300000000000008</v>
      </c>
      <c r="D522" s="8" t="s">
        <v>15</v>
      </c>
      <c r="E522" s="8">
        <v>6.43</v>
      </c>
      <c r="F522" s="8">
        <f ca="1">IFERROR(__xludf.DUMMYFUNCTION("INDEX(GOOGLEFINANCE(A522, ""open"", DATE(2025,2,3), DATE(2025,2,3)), 2, 2)"),6.93)</f>
        <v>6.93</v>
      </c>
      <c r="G522" s="8">
        <f ca="1">IFERROR(__xludf.DUMMYFUNCTION("INDEX(GOOGLEFINANCE(A522, ""close"", DATE(2025,2,7), DATE(2025,2,7)), 2, 2)"),7.17)</f>
        <v>7.17</v>
      </c>
      <c r="H522" s="9">
        <f t="shared" ca="1" si="8"/>
        <v>3.4632034632034667</v>
      </c>
      <c r="I522" s="10">
        <f t="shared" ca="1" si="9"/>
        <v>34.632034632034667</v>
      </c>
      <c r="J522" s="10" t="str">
        <f t="shared" si="10"/>
        <v>Put Spread</v>
      </c>
      <c r="K522" s="10" t="str">
        <f t="shared" ca="1" si="11"/>
        <v>Success</v>
      </c>
    </row>
    <row r="523" spans="1:11" ht="16">
      <c r="A523" s="1" t="s">
        <v>542</v>
      </c>
      <c r="B523" s="7" t="s">
        <v>14</v>
      </c>
      <c r="C523" s="8">
        <v>500.5</v>
      </c>
      <c r="D523" s="8" t="s">
        <v>15</v>
      </c>
      <c r="E523" s="8">
        <v>474.04</v>
      </c>
      <c r="F523" s="8">
        <f ca="1">IFERROR(__xludf.DUMMYFUNCTION("INDEX(GOOGLEFINANCE(A523, ""open"", DATE(2025,2,3), DATE(2025,2,3)), 2, 2)"),488.41)</f>
        <v>488.41</v>
      </c>
      <c r="G523" s="8">
        <f ca="1">IFERROR(__xludf.DUMMYFUNCTION("INDEX(GOOGLEFINANCE(A523, ""close"", DATE(2025,2,7), DATE(2025,2,7)), 2, 2)"),468.58)</f>
        <v>468.58</v>
      </c>
      <c r="H523" s="9">
        <f t="shared" ca="1" si="8"/>
        <v>-4.0601134292909729</v>
      </c>
      <c r="I523" s="10">
        <f t="shared" ca="1" si="9"/>
        <v>-40.601134292909727</v>
      </c>
      <c r="J523" s="10" t="str">
        <f t="shared" si="10"/>
        <v>Put Spread</v>
      </c>
      <c r="K523" s="10" t="str">
        <f t="shared" ca="1" si="11"/>
        <v>No</v>
      </c>
    </row>
    <row r="524" spans="1:11" ht="16">
      <c r="A524" s="1" t="s">
        <v>543</v>
      </c>
      <c r="B524" s="7" t="s">
        <v>14</v>
      </c>
      <c r="C524" s="8">
        <v>37.76</v>
      </c>
      <c r="D524" s="8" t="s">
        <v>15</v>
      </c>
      <c r="E524" s="8">
        <v>34.14</v>
      </c>
      <c r="F524" s="8">
        <f ca="1">IFERROR(__xludf.DUMMYFUNCTION("INDEX(GOOGLEFINANCE(A524, ""open"", DATE(2025,2,3), DATE(2025,2,3)), 2, 2)"),35.93)</f>
        <v>35.93</v>
      </c>
      <c r="G524" s="8">
        <f ca="1">IFERROR(__xludf.DUMMYFUNCTION("INDEX(GOOGLEFINANCE(A524, ""close"", DATE(2025,2,7), DATE(2025,2,7)), 2, 2)"),35.16)</f>
        <v>35.159999999999997</v>
      </c>
      <c r="H524" s="9">
        <f t="shared" ca="1" si="8"/>
        <v>-2.1430559421096662</v>
      </c>
      <c r="I524" s="10">
        <f t="shared" ca="1" si="9"/>
        <v>-21.430559421096664</v>
      </c>
      <c r="J524" s="10" t="str">
        <f t="shared" si="10"/>
        <v>Put Spread</v>
      </c>
      <c r="K524" s="10" t="str">
        <f t="shared" ca="1" si="11"/>
        <v>Success</v>
      </c>
    </row>
    <row r="525" spans="1:11" ht="16">
      <c r="A525" s="1" t="s">
        <v>544</v>
      </c>
      <c r="B525" s="7" t="s">
        <v>14</v>
      </c>
      <c r="C525" s="8">
        <v>4.99</v>
      </c>
      <c r="D525" s="8" t="s">
        <v>15</v>
      </c>
      <c r="E525" s="8">
        <v>4.21</v>
      </c>
      <c r="F525" s="8">
        <f ca="1">IFERROR(__xludf.DUMMYFUNCTION("INDEX(GOOGLEFINANCE(A525, ""open"", DATE(2025,2,3), DATE(2025,2,3)), 2, 2)"),4.55)</f>
        <v>4.55</v>
      </c>
      <c r="G525" s="8">
        <f ca="1">IFERROR(__xludf.DUMMYFUNCTION("INDEX(GOOGLEFINANCE(A525, ""close"", DATE(2025,2,7), DATE(2025,2,7)), 2, 2)"),4.81)</f>
        <v>4.8099999999999996</v>
      </c>
      <c r="H525" s="9">
        <f t="shared" ca="1" si="8"/>
        <v>5.71428571428571</v>
      </c>
      <c r="I525" s="10">
        <f t="shared" ca="1" si="9"/>
        <v>57.142857142857103</v>
      </c>
      <c r="J525" s="10" t="str">
        <f t="shared" si="10"/>
        <v>Put Spread</v>
      </c>
      <c r="K525" s="10" t="str">
        <f t="shared" ca="1" si="11"/>
        <v>Success</v>
      </c>
    </row>
    <row r="526" spans="1:11" ht="16">
      <c r="A526" s="1" t="s">
        <v>545</v>
      </c>
      <c r="B526" s="7" t="s">
        <v>14</v>
      </c>
      <c r="C526" s="8">
        <v>3.1</v>
      </c>
      <c r="D526" s="8" t="s">
        <v>15</v>
      </c>
      <c r="E526" s="8">
        <v>2.04</v>
      </c>
      <c r="F526" s="8">
        <f ca="1">IFERROR(__xludf.DUMMYFUNCTION("INDEX(GOOGLEFINANCE(A526, ""open"", DATE(2025,2,3), DATE(2025,2,3)), 2, 2)"),2.38)</f>
        <v>2.38</v>
      </c>
      <c r="G526" s="8">
        <f ca="1">IFERROR(__xludf.DUMMYFUNCTION("INDEX(GOOGLEFINANCE(A526, ""close"", DATE(2025,2,7), DATE(2025,2,7)), 2, 2)"),2.24)</f>
        <v>2.2400000000000002</v>
      </c>
      <c r="H526" s="9">
        <f t="shared" ca="1" si="8"/>
        <v>-5.8823529411764577</v>
      </c>
      <c r="I526" s="10">
        <f t="shared" ca="1" si="9"/>
        <v>-58.823529411764575</v>
      </c>
      <c r="J526" s="10" t="str">
        <f t="shared" si="10"/>
        <v>Put Spread</v>
      </c>
      <c r="K526" s="10" t="str">
        <f t="shared" ca="1" si="11"/>
        <v>Success</v>
      </c>
    </row>
    <row r="527" spans="1:11" ht="16">
      <c r="A527" s="1" t="s">
        <v>546</v>
      </c>
      <c r="B527" s="7" t="s">
        <v>14</v>
      </c>
      <c r="C527" s="8">
        <v>1063.8</v>
      </c>
      <c r="D527" s="8" t="s">
        <v>15</v>
      </c>
      <c r="E527" s="8">
        <v>972.96</v>
      </c>
      <c r="F527" s="8">
        <f ca="1">IFERROR(__xludf.DUMMYFUNCTION("INDEX(GOOGLEFINANCE(A527, ""open"", DATE(2025,2,3), DATE(2025,2,3)), 2, 2)"),1006.5)</f>
        <v>1006.5</v>
      </c>
      <c r="G527" s="8">
        <f ca="1">IFERROR(__xludf.DUMMYFUNCTION("INDEX(GOOGLEFINANCE(A527, ""close"", DATE(2025,2,7), DATE(2025,2,7)), 2, 2)"),1008.29)</f>
        <v>1008.29</v>
      </c>
      <c r="H527" s="9">
        <f t="shared" ca="1" si="8"/>
        <v>0.17784401390958407</v>
      </c>
      <c r="I527" s="10">
        <f t="shared" ca="1" si="9"/>
        <v>1.7784401390958409</v>
      </c>
      <c r="J527" s="10" t="str">
        <f t="shared" si="10"/>
        <v>Put Spread</v>
      </c>
      <c r="K527" s="10" t="str">
        <f t="shared" ca="1" si="11"/>
        <v>Success</v>
      </c>
    </row>
    <row r="528" spans="1:11" ht="16">
      <c r="A528" s="1" t="s">
        <v>547</v>
      </c>
      <c r="B528" s="7" t="s">
        <v>14</v>
      </c>
      <c r="C528" s="8">
        <v>109.01</v>
      </c>
      <c r="D528" s="8" t="s">
        <v>15</v>
      </c>
      <c r="E528" s="8">
        <v>95.87</v>
      </c>
      <c r="F528" s="8">
        <f ca="1">IFERROR(__xludf.DUMMYFUNCTION("INDEX(GOOGLEFINANCE(A528, ""open"", DATE(2025,2,3), DATE(2025,2,3)), 2, 2)"),99)</f>
        <v>99</v>
      </c>
      <c r="G528" s="8">
        <f ca="1">IFERROR(__xludf.DUMMYFUNCTION("INDEX(GOOGLEFINANCE(A528, ""close"", DATE(2025,2,7), DATE(2025,2,7)), 2, 2)"),103.01)</f>
        <v>103.01</v>
      </c>
      <c r="H528" s="9">
        <f t="shared" ca="1" si="8"/>
        <v>4.0505050505050555</v>
      </c>
      <c r="I528" s="10">
        <f t="shared" ca="1" si="9"/>
        <v>40.505050505050555</v>
      </c>
      <c r="J528" s="10" t="str">
        <f t="shared" si="10"/>
        <v>Put Spread</v>
      </c>
      <c r="K528" s="10" t="str">
        <f t="shared" ca="1" si="11"/>
        <v>Success</v>
      </c>
    </row>
    <row r="529" spans="1:11" ht="16">
      <c r="A529" s="1" t="s">
        <v>548</v>
      </c>
      <c r="B529" s="7" t="s">
        <v>14</v>
      </c>
      <c r="C529" s="8">
        <v>128.91</v>
      </c>
      <c r="D529" s="8" t="s">
        <v>15</v>
      </c>
      <c r="E529" s="8">
        <v>115.29</v>
      </c>
      <c r="F529" s="8">
        <f ca="1">IFERROR(__xludf.DUMMYFUNCTION("INDEX(GOOGLEFINANCE(A529, ""open"", DATE(2025,2,3), DATE(2025,2,3)), 2, 2)"),119.26)</f>
        <v>119.26</v>
      </c>
      <c r="G529" s="8">
        <f ca="1">IFERROR(__xludf.DUMMYFUNCTION("INDEX(GOOGLEFINANCE(A529, ""close"", DATE(2025,2,7), DATE(2025,2,7)), 2, 2)"),122.91)</f>
        <v>122.91</v>
      </c>
      <c r="H529" s="9">
        <f t="shared" ca="1" si="8"/>
        <v>3.0605399966459763</v>
      </c>
      <c r="I529" s="10">
        <f t="shared" ca="1" si="9"/>
        <v>30.605399966459764</v>
      </c>
      <c r="J529" s="10" t="str">
        <f t="shared" si="10"/>
        <v>Put Spread</v>
      </c>
      <c r="K529" s="10" t="str">
        <f t="shared" ca="1" si="11"/>
        <v>Success</v>
      </c>
    </row>
    <row r="530" spans="1:11" ht="16">
      <c r="A530" s="1" t="s">
        <v>549</v>
      </c>
      <c r="B530" s="7" t="s">
        <v>14</v>
      </c>
      <c r="C530" s="8">
        <v>13.92</v>
      </c>
      <c r="D530" s="8" t="s">
        <v>15</v>
      </c>
      <c r="E530" s="8">
        <v>12.56</v>
      </c>
      <c r="F530" s="8">
        <f ca="1">IFERROR(__xludf.DUMMYFUNCTION("INDEX(GOOGLEFINANCE(A530, ""open"", DATE(2025,2,3), DATE(2025,2,3)), 2, 2)"),12.92)</f>
        <v>12.92</v>
      </c>
      <c r="G530" s="8">
        <f ca="1">IFERROR(__xludf.DUMMYFUNCTION("INDEX(GOOGLEFINANCE(A530, ""close"", DATE(2025,2,7), DATE(2025,2,7)), 2, 2)"),13.73)</f>
        <v>13.73</v>
      </c>
      <c r="H530" s="9">
        <f t="shared" ca="1" si="8"/>
        <v>6.2693498452012424</v>
      </c>
      <c r="I530" s="10">
        <f t="shared" ca="1" si="9"/>
        <v>62.693498452012427</v>
      </c>
      <c r="J530" s="10" t="str">
        <f t="shared" si="10"/>
        <v>Put Spread</v>
      </c>
      <c r="K530" s="10" t="str">
        <f t="shared" ca="1" si="11"/>
        <v>Success</v>
      </c>
    </row>
    <row r="531" spans="1:11" ht="16">
      <c r="A531" s="1" t="s">
        <v>550</v>
      </c>
      <c r="B531" s="7" t="s">
        <v>14</v>
      </c>
      <c r="C531" s="8">
        <v>135.57</v>
      </c>
      <c r="D531" s="8" t="s">
        <v>15</v>
      </c>
      <c r="E531" s="8">
        <v>121.29</v>
      </c>
      <c r="F531" s="8">
        <f ca="1">IFERROR(__xludf.DUMMYFUNCTION("INDEX(GOOGLEFINANCE(A531, ""open"", DATE(2025,2,3), DATE(2025,2,3)), 2, 2)"),130.19)</f>
        <v>130.19</v>
      </c>
      <c r="G531" s="8">
        <f ca="1">IFERROR(__xludf.DUMMYFUNCTION("INDEX(GOOGLEFINANCE(A531, ""close"", DATE(2025,2,7), DATE(2025,2,7)), 2, 2)"),130.26)</f>
        <v>130.26</v>
      </c>
      <c r="H531" s="9">
        <f t="shared" ca="1" si="8"/>
        <v>5.3767570473917496E-2</v>
      </c>
      <c r="I531" s="10">
        <f t="shared" ca="1" si="9"/>
        <v>0.53767570473917492</v>
      </c>
      <c r="J531" s="10" t="str">
        <f t="shared" si="10"/>
        <v>Put Spread</v>
      </c>
      <c r="K531" s="10" t="str">
        <f t="shared" ca="1" si="11"/>
        <v>Success</v>
      </c>
    </row>
    <row r="532" spans="1:11" ht="16">
      <c r="A532" s="1" t="s">
        <v>551</v>
      </c>
      <c r="B532" s="7" t="s">
        <v>14</v>
      </c>
      <c r="C532" s="8">
        <v>49.83</v>
      </c>
      <c r="D532" s="8" t="s">
        <v>15</v>
      </c>
      <c r="E532" s="8">
        <v>41.69</v>
      </c>
      <c r="F532" s="8">
        <f ca="1">IFERROR(__xludf.DUMMYFUNCTION("INDEX(GOOGLEFINANCE(A532, ""open"", DATE(2025,2,3), DATE(2025,2,3)), 2, 2)"),46.21)</f>
        <v>46.21</v>
      </c>
      <c r="G532" s="8">
        <f ca="1">IFERROR(__xludf.DUMMYFUNCTION("INDEX(GOOGLEFINANCE(A532, ""close"", DATE(2025,2,7), DATE(2025,2,7)), 2, 2)"),50.28)</f>
        <v>50.28</v>
      </c>
      <c r="H532" s="9">
        <f t="shared" ca="1" si="8"/>
        <v>8.8076173988314217</v>
      </c>
      <c r="I532" s="10">
        <f t="shared" ca="1" si="9"/>
        <v>88.076173988314224</v>
      </c>
      <c r="J532" s="10" t="str">
        <f t="shared" si="10"/>
        <v>Put Spread</v>
      </c>
      <c r="K532" s="10" t="str">
        <f t="shared" ca="1" si="11"/>
        <v>Success</v>
      </c>
    </row>
    <row r="533" spans="1:11" ht="16">
      <c r="A533" s="1" t="s">
        <v>552</v>
      </c>
      <c r="B533" s="7" t="s">
        <v>14</v>
      </c>
      <c r="C533" s="8">
        <v>9.86</v>
      </c>
      <c r="D533" s="8" t="s">
        <v>15</v>
      </c>
      <c r="E533" s="8">
        <v>7.52</v>
      </c>
      <c r="F533" s="8">
        <f ca="1">IFERROR(__xludf.DUMMYFUNCTION("INDEX(GOOGLEFINANCE(A533, ""open"", DATE(2025,2,3), DATE(2025,2,3)), 2, 2)"),8.41)</f>
        <v>8.41</v>
      </c>
      <c r="G533" s="8">
        <f ca="1">IFERROR(__xludf.DUMMYFUNCTION("INDEX(GOOGLEFINANCE(A533, ""close"", DATE(2025,2,7), DATE(2025,2,7)), 2, 2)"),8.13)</f>
        <v>8.1300000000000008</v>
      </c>
      <c r="H533" s="9">
        <f t="shared" ca="1" si="8"/>
        <v>-3.3293697978596835</v>
      </c>
      <c r="I533" s="10">
        <f t="shared" ca="1" si="9"/>
        <v>-33.293697978596832</v>
      </c>
      <c r="J533" s="10" t="str">
        <f t="shared" si="10"/>
        <v>Put Spread</v>
      </c>
      <c r="K533" s="10" t="str">
        <f t="shared" ca="1" si="11"/>
        <v>Success</v>
      </c>
    </row>
    <row r="534" spans="1:11" ht="16">
      <c r="A534" s="1" t="s">
        <v>553</v>
      </c>
      <c r="B534" s="7" t="s">
        <v>14</v>
      </c>
      <c r="C534" s="8">
        <v>131.69999999999999</v>
      </c>
      <c r="D534" s="8" t="s">
        <v>15</v>
      </c>
      <c r="E534" s="8">
        <v>108.44</v>
      </c>
      <c r="F534" s="8">
        <f ca="1">IFERROR(__xludf.DUMMYFUNCTION("INDEX(GOOGLEFINANCE(A534, ""open"", DATE(2025,2,3), DATE(2025,2,3)), 2, 2)"),114.75)</f>
        <v>114.75</v>
      </c>
      <c r="G534" s="8">
        <f ca="1">IFERROR(__xludf.DUMMYFUNCTION("INDEX(GOOGLEFINANCE(A534, ""close"", DATE(2025,2,7), DATE(2025,2,7)), 2, 2)"),129.84)</f>
        <v>129.84</v>
      </c>
      <c r="H534" s="9">
        <f t="shared" ca="1" si="8"/>
        <v>13.150326797385626</v>
      </c>
      <c r="I534" s="10">
        <f t="shared" ca="1" si="9"/>
        <v>131.50326797385625</v>
      </c>
      <c r="J534" s="10" t="str">
        <f t="shared" si="10"/>
        <v>Put Spread</v>
      </c>
      <c r="K534" s="10" t="str">
        <f t="shared" ca="1" si="11"/>
        <v>Success</v>
      </c>
    </row>
    <row r="535" spans="1:11" ht="16">
      <c r="A535" s="1" t="s">
        <v>554</v>
      </c>
      <c r="B535" s="7" t="s">
        <v>14</v>
      </c>
      <c r="C535" s="8">
        <v>58.94</v>
      </c>
      <c r="D535" s="8" t="s">
        <v>15</v>
      </c>
      <c r="E535" s="8">
        <v>39.119999999999997</v>
      </c>
      <c r="F535" s="8">
        <f ca="1">IFERROR(__xludf.DUMMYFUNCTION("INDEX(GOOGLEFINANCE(A535, ""open"", DATE(2025,2,3), DATE(2025,2,3)), 2, 2)"),44.72)</f>
        <v>44.72</v>
      </c>
      <c r="G535" s="8">
        <f ca="1">IFERROR(__xludf.DUMMYFUNCTION("INDEX(GOOGLEFINANCE(A535, ""close"", DATE(2025,2,7), DATE(2025,2,7)), 2, 2)"),56.9)</f>
        <v>56.9</v>
      </c>
      <c r="H535" s="9">
        <f t="shared" ca="1" si="8"/>
        <v>27.236135957066189</v>
      </c>
      <c r="I535" s="10">
        <f t="shared" ca="1" si="9"/>
        <v>272.36135957066188</v>
      </c>
      <c r="J535" s="10" t="str">
        <f t="shared" si="10"/>
        <v>Put Spread</v>
      </c>
      <c r="K535" s="10" t="str">
        <f t="shared" ca="1" si="11"/>
        <v>Success</v>
      </c>
    </row>
    <row r="536" spans="1:11" ht="16">
      <c r="A536" s="1" t="s">
        <v>555</v>
      </c>
      <c r="B536" s="7" t="s">
        <v>14</v>
      </c>
      <c r="C536" s="8">
        <v>31.39</v>
      </c>
      <c r="D536" s="8" t="s">
        <v>15</v>
      </c>
      <c r="E536" s="8">
        <v>23.27</v>
      </c>
      <c r="F536" s="8">
        <f ca="1">IFERROR(__xludf.DUMMYFUNCTION("INDEX(GOOGLEFINANCE(A536, ""open"", DATE(2025,2,3), DATE(2025,2,3)), 2, 2)"),29.18)</f>
        <v>29.18</v>
      </c>
      <c r="G536" s="8">
        <f ca="1">IFERROR(__xludf.DUMMYFUNCTION("INDEX(GOOGLEFINANCE(A536, ""close"", DATE(2025,2,7), DATE(2025,2,7)), 2, 2)"),24.14)</f>
        <v>24.14</v>
      </c>
      <c r="H536" s="9">
        <f t="shared" ca="1" si="8"/>
        <v>-17.272104180945849</v>
      </c>
      <c r="I536" s="10">
        <f t="shared" ca="1" si="9"/>
        <v>-172.72104180945848</v>
      </c>
      <c r="J536" s="10" t="str">
        <f t="shared" si="10"/>
        <v>Put Spread</v>
      </c>
      <c r="K536" s="10" t="str">
        <f t="shared" ca="1" si="11"/>
        <v>Success</v>
      </c>
    </row>
    <row r="537" spans="1:11" ht="16">
      <c r="A537" s="1" t="s">
        <v>556</v>
      </c>
      <c r="B537" s="7" t="s">
        <v>14</v>
      </c>
      <c r="C537" s="8">
        <v>82.86</v>
      </c>
      <c r="D537" s="8" t="s">
        <v>15</v>
      </c>
      <c r="E537" s="8">
        <v>55.74</v>
      </c>
      <c r="F537" s="8">
        <f ca="1">IFERROR(__xludf.DUMMYFUNCTION("INDEX(GOOGLEFINANCE(A537, ""open"", DATE(2025,2,3), DATE(2025,2,3)), 2, 2)"),63.08)</f>
        <v>63.08</v>
      </c>
      <c r="G537" s="8">
        <f ca="1">IFERROR(__xludf.DUMMYFUNCTION("INDEX(GOOGLEFINANCE(A537, ""close"", DATE(2025,2,7), DATE(2025,2,7)), 2, 2)"),80.41)</f>
        <v>80.41</v>
      </c>
      <c r="H537" s="9">
        <f t="shared" ca="1" si="8"/>
        <v>27.473050095117308</v>
      </c>
      <c r="I537" s="10">
        <f t="shared" ca="1" si="9"/>
        <v>274.7305009511731</v>
      </c>
      <c r="J537" s="10" t="str">
        <f t="shared" si="10"/>
        <v>Put Spread</v>
      </c>
      <c r="K537" s="10" t="str">
        <f t="shared" ca="1" si="11"/>
        <v>Success</v>
      </c>
    </row>
    <row r="538" spans="1:11" ht="16">
      <c r="A538" s="1" t="s">
        <v>557</v>
      </c>
      <c r="B538" s="7" t="s">
        <v>14</v>
      </c>
      <c r="C538" s="8">
        <v>12.27</v>
      </c>
      <c r="D538" s="8" t="s">
        <v>15</v>
      </c>
      <c r="E538" s="8">
        <v>8.33</v>
      </c>
      <c r="F538" s="8">
        <f ca="1">IFERROR(__xludf.DUMMYFUNCTION("INDEX(GOOGLEFINANCE(A538, ""open"", DATE(2025,2,3), DATE(2025,2,3)), 2, 2)"),9.39)</f>
        <v>9.39</v>
      </c>
      <c r="G538" s="8">
        <f ca="1">IFERROR(__xludf.DUMMYFUNCTION("INDEX(GOOGLEFINANCE(A538, ""close"", DATE(2025,2,7), DATE(2025,2,7)), 2, 2)"),11.96)</f>
        <v>11.96</v>
      </c>
      <c r="H538" s="9">
        <f t="shared" ca="1" si="8"/>
        <v>27.369542066027691</v>
      </c>
      <c r="I538" s="10">
        <f t="shared" ca="1" si="9"/>
        <v>273.69542066027691</v>
      </c>
      <c r="J538" s="10" t="str">
        <f t="shared" si="10"/>
        <v>Put Spread</v>
      </c>
      <c r="K538" s="10" t="str">
        <f t="shared" ca="1" si="11"/>
        <v>Success</v>
      </c>
    </row>
    <row r="539" spans="1:11" ht="16">
      <c r="A539" s="1" t="s">
        <v>558</v>
      </c>
      <c r="B539" s="7" t="s">
        <v>38</v>
      </c>
      <c r="C539" s="8">
        <v>18.21</v>
      </c>
      <c r="D539" s="8" t="s">
        <v>39</v>
      </c>
      <c r="E539" s="8">
        <v>19.45</v>
      </c>
      <c r="F539" s="8">
        <f ca="1">IFERROR(__xludf.DUMMYFUNCTION("INDEX(GOOGLEFINANCE(A539, ""open"", DATE(2025,2,3), DATE(2025,2,3)), 2, 2)"),18.04)</f>
        <v>18.04</v>
      </c>
      <c r="G539" s="8">
        <f ca="1">IFERROR(__xludf.DUMMYFUNCTION("INDEX(GOOGLEFINANCE(A539, ""close"", DATE(2025,2,7), DATE(2025,2,7)), 2, 2)"),20.29)</f>
        <v>20.29</v>
      </c>
      <c r="H539" s="9">
        <f t="shared" ca="1" si="8"/>
        <v>-12.472283813747229</v>
      </c>
      <c r="I539" s="10">
        <f t="shared" ca="1" si="9"/>
        <v>-124.72283813747228</v>
      </c>
      <c r="J539" s="10" t="str">
        <f t="shared" si="10"/>
        <v>Call Spread</v>
      </c>
      <c r="K539" s="10" t="str">
        <f t="shared" ca="1" si="11"/>
        <v>No</v>
      </c>
    </row>
    <row r="540" spans="1:11" ht="16">
      <c r="A540" s="1" t="s">
        <v>559</v>
      </c>
      <c r="B540" s="7" t="s">
        <v>38</v>
      </c>
      <c r="C540" s="8">
        <v>79.459999999999994</v>
      </c>
      <c r="D540" s="8" t="s">
        <v>39</v>
      </c>
      <c r="E540" s="8">
        <v>89.44</v>
      </c>
      <c r="F540" s="8">
        <f ca="1">IFERROR(__xludf.DUMMYFUNCTION("INDEX(GOOGLEFINANCE(A540, ""open"", DATE(2025,2,3), DATE(2025,2,3)), 2, 2)"),82.13)</f>
        <v>82.13</v>
      </c>
      <c r="G540" s="8">
        <f ca="1">IFERROR(__xludf.DUMMYFUNCTION("INDEX(GOOGLEFINANCE(A540, ""close"", DATE(2025,2,7), DATE(2025,2,7)), 2, 2)"),86.42)</f>
        <v>86.42</v>
      </c>
      <c r="H540" s="9">
        <f t="shared" ca="1" si="8"/>
        <v>-5.2234262754170295</v>
      </c>
      <c r="I540" s="10">
        <f t="shared" ca="1" si="9"/>
        <v>-52.234262754170295</v>
      </c>
      <c r="J540" s="10" t="str">
        <f t="shared" si="10"/>
        <v>Call Spread</v>
      </c>
      <c r="K540" s="10" t="str">
        <f t="shared" ca="1" si="11"/>
        <v>Success</v>
      </c>
    </row>
    <row r="541" spans="1:11" ht="16">
      <c r="A541" s="1" t="s">
        <v>560</v>
      </c>
      <c r="B541" s="7" t="s">
        <v>14</v>
      </c>
      <c r="C541" s="8">
        <v>107.27</v>
      </c>
      <c r="D541" s="8" t="s">
        <v>15</v>
      </c>
      <c r="E541" s="8">
        <v>102.17</v>
      </c>
      <c r="F541" s="8">
        <f ca="1">IFERROR(__xludf.DUMMYFUNCTION("INDEX(GOOGLEFINANCE(A541, ""open"", DATE(2025,2,3), DATE(2025,2,3)), 2, 2)"),104.47)</f>
        <v>104.47</v>
      </c>
      <c r="G541" s="8">
        <f ca="1">IFERROR(__xludf.DUMMYFUNCTION("INDEX(GOOGLEFINANCE(A541, ""close"", DATE(2025,2,7), DATE(2025,2,7)), 2, 2)"),106.26)</f>
        <v>106.26</v>
      </c>
      <c r="H541" s="9">
        <f t="shared" ca="1" si="8"/>
        <v>1.7134105484828239</v>
      </c>
      <c r="I541" s="10">
        <f t="shared" ca="1" si="9"/>
        <v>17.13410548482824</v>
      </c>
      <c r="J541" s="10" t="str">
        <f t="shared" si="10"/>
        <v>Put Spread</v>
      </c>
      <c r="K541" s="10" t="str">
        <f t="shared" ca="1" si="11"/>
        <v>Success</v>
      </c>
    </row>
    <row r="542" spans="1:11" ht="16">
      <c r="A542" s="1" t="s">
        <v>561</v>
      </c>
      <c r="B542" s="7" t="s">
        <v>14</v>
      </c>
      <c r="C542" s="8">
        <v>7.17</v>
      </c>
      <c r="D542" s="8" t="s">
        <v>15</v>
      </c>
      <c r="E542" s="8">
        <v>5.95</v>
      </c>
      <c r="F542" s="8">
        <f ca="1">IFERROR(__xludf.DUMMYFUNCTION("INDEX(GOOGLEFINANCE(A542, ""open"", DATE(2025,2,3), DATE(2025,2,3)), 2, 2)"),6.31)</f>
        <v>6.31</v>
      </c>
      <c r="G542" s="8">
        <f ca="1">IFERROR(__xludf.DUMMYFUNCTION("INDEX(GOOGLEFINANCE(A542, ""close"", DATE(2025,2,7), DATE(2025,2,7)), 2, 2)"),6.53)</f>
        <v>6.53</v>
      </c>
      <c r="H542" s="9">
        <f t="shared" ca="1" si="8"/>
        <v>3.4865293185420074</v>
      </c>
      <c r="I542" s="10">
        <f t="shared" ca="1" si="9"/>
        <v>34.865293185420072</v>
      </c>
      <c r="J542" s="10" t="str">
        <f t="shared" si="10"/>
        <v>Put Spread</v>
      </c>
      <c r="K542" s="10" t="str">
        <f t="shared" ca="1" si="11"/>
        <v>Success</v>
      </c>
    </row>
    <row r="543" spans="1:11" ht="16">
      <c r="A543" s="1" t="s">
        <v>562</v>
      </c>
      <c r="B543" s="7" t="s">
        <v>14</v>
      </c>
      <c r="C543" s="8">
        <v>53.88</v>
      </c>
      <c r="D543" s="8" t="s">
        <v>15</v>
      </c>
      <c r="E543" s="8">
        <v>46.96</v>
      </c>
      <c r="F543" s="8">
        <f ca="1">IFERROR(__xludf.DUMMYFUNCTION("INDEX(GOOGLEFINANCE(A543, ""open"", DATE(2025,2,3), DATE(2025,2,3)), 2, 2)"),48.32)</f>
        <v>48.32</v>
      </c>
      <c r="G543" s="8">
        <f ca="1">IFERROR(__xludf.DUMMYFUNCTION("INDEX(GOOGLEFINANCE(A543, ""close"", DATE(2025,2,7), DATE(2025,2,7)), 2, 2)"),46.12)</f>
        <v>46.12</v>
      </c>
      <c r="H543" s="9">
        <f t="shared" ca="1" si="8"/>
        <v>-4.5529801324503367</v>
      </c>
      <c r="I543" s="10">
        <f t="shared" ca="1" si="9"/>
        <v>-45.529801324503367</v>
      </c>
      <c r="J543" s="10" t="str">
        <f t="shared" si="10"/>
        <v>Put Spread</v>
      </c>
      <c r="K543" s="10" t="str">
        <f t="shared" ca="1" si="11"/>
        <v>No</v>
      </c>
    </row>
    <row r="544" spans="1:11" ht="16">
      <c r="A544" s="1" t="s">
        <v>563</v>
      </c>
      <c r="B544" s="7" t="s">
        <v>14</v>
      </c>
      <c r="C544" s="8">
        <v>88.09</v>
      </c>
      <c r="D544" s="8" t="s">
        <v>15</v>
      </c>
      <c r="E544" s="8">
        <v>84.73</v>
      </c>
      <c r="F544" s="8">
        <f ca="1">IFERROR(__xludf.DUMMYFUNCTION("INDEX(GOOGLEFINANCE(A544, ""open"", DATE(2025,2,3), DATE(2025,2,3)), 2, 2)"),85.17)</f>
        <v>85.17</v>
      </c>
      <c r="G544" s="8">
        <f ca="1">IFERROR(__xludf.DUMMYFUNCTION("INDEX(GOOGLEFINANCE(A544, ""close"", DATE(2025,2,7), DATE(2025,2,7)), 2, 2)"),87.55)</f>
        <v>87.55</v>
      </c>
      <c r="H544" s="9">
        <f t="shared" ca="1" si="8"/>
        <v>2.7944111776447054</v>
      </c>
      <c r="I544" s="10">
        <f t="shared" ca="1" si="9"/>
        <v>27.944111776447052</v>
      </c>
      <c r="J544" s="10" t="str">
        <f t="shared" si="10"/>
        <v>Put Spread</v>
      </c>
      <c r="K544" s="10" t="str">
        <f t="shared" ca="1" si="11"/>
        <v>Success</v>
      </c>
    </row>
    <row r="545" spans="1:11" ht="16">
      <c r="A545" s="1" t="s">
        <v>564</v>
      </c>
      <c r="B545" s="7" t="s">
        <v>14</v>
      </c>
      <c r="C545" s="8">
        <v>56.09</v>
      </c>
      <c r="D545" s="8" t="s">
        <v>15</v>
      </c>
      <c r="E545" s="8">
        <v>53.19</v>
      </c>
      <c r="F545" s="8">
        <f ca="1">IFERROR(__xludf.DUMMYFUNCTION("INDEX(GOOGLEFINANCE(A545, ""open"", DATE(2025,2,3), DATE(2025,2,3)), 2, 2)"),53.9)</f>
        <v>53.9</v>
      </c>
      <c r="G545" s="8">
        <f ca="1">IFERROR(__xludf.DUMMYFUNCTION("INDEX(GOOGLEFINANCE(A545, ""close"", DATE(2025,2,7), DATE(2025,2,7)), 2, 2)"),54.12)</f>
        <v>54.12</v>
      </c>
      <c r="H545" s="9">
        <f t="shared" ca="1" si="8"/>
        <v>0.40816326530612029</v>
      </c>
      <c r="I545" s="10">
        <f t="shared" ca="1" si="9"/>
        <v>4.0816326530612033</v>
      </c>
      <c r="J545" s="10" t="str">
        <f t="shared" si="10"/>
        <v>Put Spread</v>
      </c>
      <c r="K545" s="10" t="str">
        <f t="shared" ca="1" si="11"/>
        <v>Success</v>
      </c>
    </row>
    <row r="546" spans="1:11" ht="16">
      <c r="A546" s="1" t="s">
        <v>565</v>
      </c>
      <c r="B546" s="7" t="s">
        <v>14</v>
      </c>
      <c r="C546" s="8">
        <v>0.87</v>
      </c>
      <c r="D546" s="8" t="s">
        <v>15</v>
      </c>
      <c r="E546" s="8">
        <v>0.57999999999999996</v>
      </c>
      <c r="F546" s="8">
        <f ca="1">IFERROR(__xludf.DUMMYFUNCTION("INDEX(GOOGLEFINANCE(A546, ""open"", DATE(2025,2,3), DATE(2025,2,3)), 2, 2)"),0.72)</f>
        <v>0.72</v>
      </c>
      <c r="G546" s="8">
        <f ca="1">IFERROR(__xludf.DUMMYFUNCTION("INDEX(GOOGLEFINANCE(A546, ""close"", DATE(2025,2,7), DATE(2025,2,7)), 2, 2)"),0.71)</f>
        <v>0.71</v>
      </c>
      <c r="H546" s="9">
        <f t="shared" ca="1" si="8"/>
        <v>-1.3888888888888902</v>
      </c>
      <c r="I546" s="10">
        <f t="shared" ca="1" si="9"/>
        <v>-13.888888888888903</v>
      </c>
      <c r="J546" s="10" t="str">
        <f t="shared" si="10"/>
        <v>Put Spread</v>
      </c>
      <c r="K546" s="10" t="str">
        <f t="shared" ca="1" si="11"/>
        <v>Success</v>
      </c>
    </row>
    <row r="547" spans="1:11" ht="16">
      <c r="A547" s="1" t="s">
        <v>566</v>
      </c>
      <c r="B547" s="7" t="s">
        <v>14</v>
      </c>
      <c r="C547" s="8">
        <v>196.69</v>
      </c>
      <c r="D547" s="8" t="s">
        <v>15</v>
      </c>
      <c r="E547" s="8">
        <v>174.53</v>
      </c>
      <c r="F547" s="8">
        <f ca="1">IFERROR(__xludf.DUMMYFUNCTION("INDEX(GOOGLEFINANCE(A547, ""open"", DATE(2025,2,3), DATE(2025,2,3)), 2, 2)"),188.13)</f>
        <v>188.13</v>
      </c>
      <c r="G547" s="8">
        <f ca="1">IFERROR(__xludf.DUMMYFUNCTION("INDEX(GOOGLEFINANCE(A547, ""close"", DATE(2025,2,7), DATE(2025,2,7)), 2, 2)"),197.2)</f>
        <v>197.2</v>
      </c>
      <c r="H547" s="9">
        <f t="shared" ca="1" si="8"/>
        <v>4.8211343220113712</v>
      </c>
      <c r="I547" s="10">
        <f t="shared" ca="1" si="9"/>
        <v>48.211343220113712</v>
      </c>
      <c r="J547" s="10" t="str">
        <f t="shared" si="10"/>
        <v>Put Spread</v>
      </c>
      <c r="K547" s="10" t="str">
        <f t="shared" ca="1" si="11"/>
        <v>Success</v>
      </c>
    </row>
    <row r="548" spans="1:11" ht="16">
      <c r="A548" s="1" t="s">
        <v>567</v>
      </c>
      <c r="B548" s="7" t="s">
        <v>38</v>
      </c>
      <c r="C548" s="8">
        <v>265.55</v>
      </c>
      <c r="D548" s="8" t="s">
        <v>39</v>
      </c>
      <c r="E548" s="8">
        <v>288.37</v>
      </c>
      <c r="F548" s="8">
        <f ca="1">IFERROR(__xludf.DUMMYFUNCTION("INDEX(GOOGLEFINANCE(A548, ""open"", DATE(2025,2,3), DATE(2025,2,3)), 2, 2)"),275.94)</f>
        <v>275.94</v>
      </c>
      <c r="G548" s="8">
        <f ca="1">IFERROR(__xludf.DUMMYFUNCTION("INDEX(GOOGLEFINANCE(A548, ""close"", DATE(2025,2,7), DATE(2025,2,7)), 2, 2)"),275.44)</f>
        <v>275.44</v>
      </c>
      <c r="H548" s="9">
        <f t="shared" ca="1" si="8"/>
        <v>0.18119881133579765</v>
      </c>
      <c r="I548" s="10">
        <f t="shared" ca="1" si="9"/>
        <v>1.8119881133579765</v>
      </c>
      <c r="J548" s="10" t="str">
        <f t="shared" si="10"/>
        <v>Call Spread</v>
      </c>
      <c r="K548" s="10" t="str">
        <f t="shared" ca="1" si="11"/>
        <v>Success</v>
      </c>
    </row>
    <row r="549" spans="1:11" ht="16">
      <c r="A549" s="1" t="s">
        <v>568</v>
      </c>
      <c r="B549" s="7" t="s">
        <v>14</v>
      </c>
      <c r="C549" s="8">
        <v>101.42</v>
      </c>
      <c r="D549" s="8" t="s">
        <v>15</v>
      </c>
      <c r="E549" s="8">
        <v>87.02</v>
      </c>
      <c r="F549" s="8">
        <f ca="1">IFERROR(__xludf.DUMMYFUNCTION("INDEX(GOOGLEFINANCE(A549, ""open"", DATE(2025,2,3), DATE(2025,2,3)), 2, 2)"),92.5)</f>
        <v>92.5</v>
      </c>
      <c r="G549" s="8">
        <f ca="1">IFERROR(__xludf.DUMMYFUNCTION("INDEX(GOOGLEFINANCE(A549, ""close"", DATE(2025,2,7), DATE(2025,2,7)), 2, 2)"),97)</f>
        <v>97</v>
      </c>
      <c r="H549" s="9">
        <f t="shared" ca="1" si="8"/>
        <v>4.8648648648648649</v>
      </c>
      <c r="I549" s="10">
        <f t="shared" ca="1" si="9"/>
        <v>48.648648648648653</v>
      </c>
      <c r="J549" s="10" t="str">
        <f t="shared" si="10"/>
        <v>Put Spread</v>
      </c>
      <c r="K549" s="10" t="str">
        <f t="shared" ca="1" si="11"/>
        <v>Success</v>
      </c>
    </row>
    <row r="550" spans="1:11" ht="16">
      <c r="A550" s="1" t="s">
        <v>569</v>
      </c>
      <c r="B550" s="7" t="s">
        <v>38</v>
      </c>
      <c r="C550" s="8">
        <v>48.4</v>
      </c>
      <c r="D550" s="8" t="s">
        <v>39</v>
      </c>
      <c r="E550" s="8">
        <v>56.28</v>
      </c>
      <c r="F550" s="8">
        <f ca="1">IFERROR(__xludf.DUMMYFUNCTION("INDEX(GOOGLEFINANCE(A550, ""open"", DATE(2025,2,3), DATE(2025,2,3)), 2, 2)"),50.65)</f>
        <v>50.65</v>
      </c>
      <c r="G550" s="8">
        <f ca="1">IFERROR(__xludf.DUMMYFUNCTION("INDEX(GOOGLEFINANCE(A550, ""close"", DATE(2025,2,7), DATE(2025,2,7)), 2, 2)"),51.25)</f>
        <v>51.25</v>
      </c>
      <c r="H550" s="9">
        <f t="shared" ca="1" si="8"/>
        <v>-1.1846001974333691</v>
      </c>
      <c r="I550" s="10">
        <f t="shared" ca="1" si="9"/>
        <v>-11.84600197433369</v>
      </c>
      <c r="J550" s="10" t="str">
        <f t="shared" si="10"/>
        <v>Call Spread</v>
      </c>
      <c r="K550" s="10" t="str">
        <f t="shared" ca="1" si="11"/>
        <v>Success</v>
      </c>
    </row>
    <row r="551" spans="1:11" ht="16">
      <c r="A551" s="1" t="s">
        <v>570</v>
      </c>
      <c r="B551" s="7" t="s">
        <v>14</v>
      </c>
      <c r="C551" s="8">
        <v>63.58</v>
      </c>
      <c r="D551" s="8" t="s">
        <v>15</v>
      </c>
      <c r="E551" s="8">
        <v>56.18</v>
      </c>
      <c r="F551" s="8">
        <f ca="1">IFERROR(__xludf.DUMMYFUNCTION("INDEX(GOOGLEFINANCE(A551, ""open"", DATE(2025,2,3), DATE(2025,2,3)), 2, 2)"),56.44)</f>
        <v>56.44</v>
      </c>
      <c r="G551" s="8">
        <f ca="1">IFERROR(__xludf.DUMMYFUNCTION("INDEX(GOOGLEFINANCE(A551, ""close"", DATE(2025,2,7), DATE(2025,2,7)), 2, 2)"),56.41)</f>
        <v>56.41</v>
      </c>
      <c r="H551" s="9">
        <f t="shared" ca="1" si="8"/>
        <v>-5.3153791637138792E-2</v>
      </c>
      <c r="I551" s="10">
        <f t="shared" ca="1" si="9"/>
        <v>-0.53153791637138792</v>
      </c>
      <c r="J551" s="10" t="str">
        <f t="shared" si="10"/>
        <v>Put Spread</v>
      </c>
      <c r="K551" s="10" t="str">
        <f t="shared" ca="1" si="11"/>
        <v>Success</v>
      </c>
    </row>
    <row r="552" spans="1:11" ht="16">
      <c r="A552" s="1" t="s">
        <v>571</v>
      </c>
      <c r="B552" s="7" t="s">
        <v>14</v>
      </c>
      <c r="C552" s="8">
        <v>1.6</v>
      </c>
      <c r="D552" s="8" t="s">
        <v>15</v>
      </c>
      <c r="E552" s="8">
        <v>1.1599999999999999</v>
      </c>
      <c r="F552" s="8">
        <f ca="1">IFERROR(__xludf.DUMMYFUNCTION("INDEX(GOOGLEFINANCE(A552, ""open"", DATE(2025,2,3), DATE(2025,2,3)), 2, 2)"),1.32)</f>
        <v>1.32</v>
      </c>
      <c r="G552" s="8">
        <f ca="1">IFERROR(__xludf.DUMMYFUNCTION("INDEX(GOOGLEFINANCE(A552, ""close"", DATE(2025,2,7), DATE(2025,2,7)), 2, 2)"),1.34)</f>
        <v>1.34</v>
      </c>
      <c r="H552" s="9">
        <f t="shared" ca="1" si="8"/>
        <v>1.5151515151515165</v>
      </c>
      <c r="I552" s="10">
        <f t="shared" ca="1" si="9"/>
        <v>15.151515151515163</v>
      </c>
      <c r="J552" s="10" t="str">
        <f t="shared" si="10"/>
        <v>Put Spread</v>
      </c>
      <c r="K552" s="10" t="str">
        <f t="shared" ca="1" si="11"/>
        <v>Success</v>
      </c>
    </row>
    <row r="553" spans="1:11" ht="16">
      <c r="A553" s="1" t="s">
        <v>572</v>
      </c>
      <c r="B553" s="7" t="s">
        <v>14</v>
      </c>
      <c r="C553" s="8">
        <v>1.65</v>
      </c>
      <c r="D553" s="8" t="s">
        <v>15</v>
      </c>
      <c r="E553" s="8">
        <v>1.39</v>
      </c>
      <c r="F553" s="8">
        <f ca="1">IFERROR(__xludf.DUMMYFUNCTION("INDEX(GOOGLEFINANCE(A553, ""open"", DATE(2025,2,3), DATE(2025,2,3)), 2, 2)"),1.5)</f>
        <v>1.5</v>
      </c>
      <c r="G553" s="8">
        <f ca="1">IFERROR(__xludf.DUMMYFUNCTION("INDEX(GOOGLEFINANCE(A553, ""close"", DATE(2025,2,7), DATE(2025,2,7)), 2, 2)"),1.61)</f>
        <v>1.61</v>
      </c>
      <c r="H553" s="9">
        <f t="shared" ca="1" si="8"/>
        <v>7.3333333333333401</v>
      </c>
      <c r="I553" s="10">
        <f t="shared" ca="1" si="9"/>
        <v>73.3333333333334</v>
      </c>
      <c r="J553" s="10" t="str">
        <f t="shared" si="10"/>
        <v>Put Spread</v>
      </c>
      <c r="K553" s="10" t="str">
        <f t="shared" ca="1" si="11"/>
        <v>Success</v>
      </c>
    </row>
    <row r="554" spans="1:11" ht="16">
      <c r="A554" s="1" t="s">
        <v>573</v>
      </c>
      <c r="B554" s="7" t="s">
        <v>14</v>
      </c>
      <c r="C554" s="8">
        <v>19.64</v>
      </c>
      <c r="D554" s="8" t="s">
        <v>15</v>
      </c>
      <c r="E554" s="8">
        <v>17.399999999999999</v>
      </c>
      <c r="F554" s="8">
        <f ca="1">IFERROR(__xludf.DUMMYFUNCTION("INDEX(GOOGLEFINANCE(A554, ""open"", DATE(2025,2,3), DATE(2025,2,3)), 2, 2)"),18.47)</f>
        <v>18.47</v>
      </c>
      <c r="G554" s="8">
        <f ca="1">IFERROR(__xludf.DUMMYFUNCTION("INDEX(GOOGLEFINANCE(A554, ""close"", DATE(2025,2,7), DATE(2025,2,7)), 2, 2)"),19.81)</f>
        <v>19.809999999999999</v>
      </c>
      <c r="H554" s="9">
        <f t="shared" ca="1" si="8"/>
        <v>7.255008121277748</v>
      </c>
      <c r="I554" s="10">
        <f t="shared" ca="1" si="9"/>
        <v>72.550081212777471</v>
      </c>
      <c r="J554" s="10" t="str">
        <f t="shared" si="10"/>
        <v>Put Spread</v>
      </c>
      <c r="K554" s="10" t="str">
        <f t="shared" ca="1" si="11"/>
        <v>Success</v>
      </c>
    </row>
    <row r="555" spans="1:11" ht="16">
      <c r="A555" s="1" t="s">
        <v>574</v>
      </c>
      <c r="B555" s="7" t="s">
        <v>14</v>
      </c>
      <c r="C555" s="8">
        <v>180.35</v>
      </c>
      <c r="D555" s="8" t="s">
        <v>15</v>
      </c>
      <c r="E555" s="8">
        <v>159.77000000000001</v>
      </c>
      <c r="F555" s="8">
        <f ca="1">IFERROR(__xludf.DUMMYFUNCTION("INDEX(GOOGLEFINANCE(A555, ""open"", DATE(2025,2,3), DATE(2025,2,3)), 2, 2)"),163.2)</f>
        <v>163.19999999999999</v>
      </c>
      <c r="G555" s="8">
        <f ca="1">IFERROR(__xludf.DUMMYFUNCTION("INDEX(GOOGLEFINANCE(A555, ""close"", DATE(2025,2,7), DATE(2025,2,7)), 2, 2)"),174.46)</f>
        <v>174.46</v>
      </c>
      <c r="H555" s="9">
        <f t="shared" ca="1" si="8"/>
        <v>6.8995098039215819</v>
      </c>
      <c r="I555" s="10">
        <f t="shared" ca="1" si="9"/>
        <v>68.995098039215819</v>
      </c>
      <c r="J555" s="10" t="str">
        <f t="shared" si="10"/>
        <v>Put Spread</v>
      </c>
      <c r="K555" s="10" t="str">
        <f t="shared" ca="1" si="11"/>
        <v>Success</v>
      </c>
    </row>
    <row r="556" spans="1:11" ht="16">
      <c r="A556" s="1" t="s">
        <v>575</v>
      </c>
      <c r="B556" s="7" t="s">
        <v>14</v>
      </c>
      <c r="C556" s="8">
        <v>18.68</v>
      </c>
      <c r="D556" s="8" t="s">
        <v>15</v>
      </c>
      <c r="E556" s="8">
        <v>14.52</v>
      </c>
      <c r="F556" s="8">
        <f ca="1">IFERROR(__xludf.DUMMYFUNCTION("INDEX(GOOGLEFINANCE(A556, ""open"", DATE(2025,2,3), DATE(2025,2,3)), 2, 2)"),16.24)</f>
        <v>16.239999999999998</v>
      </c>
      <c r="G556" s="8">
        <f ca="1">IFERROR(__xludf.DUMMYFUNCTION("INDEX(GOOGLEFINANCE(A556, ""close"", DATE(2025,2,7), DATE(2025,2,7)), 2, 2)"),14.7)</f>
        <v>14.7</v>
      </c>
      <c r="H556" s="9">
        <f t="shared" ca="1" si="8"/>
        <v>-9.4827586206896513</v>
      </c>
      <c r="I556" s="10">
        <f t="shared" ca="1" si="9"/>
        <v>-94.827586206896527</v>
      </c>
      <c r="J556" s="10" t="str">
        <f t="shared" si="10"/>
        <v>Put Spread</v>
      </c>
      <c r="K556" s="10" t="str">
        <f t="shared" ca="1" si="11"/>
        <v>Success</v>
      </c>
    </row>
    <row r="557" spans="1:11" ht="16">
      <c r="A557" s="1" t="s">
        <v>576</v>
      </c>
      <c r="B557" s="7" t="s">
        <v>14</v>
      </c>
      <c r="C557" s="8">
        <v>48.66</v>
      </c>
      <c r="D557" s="8" t="s">
        <v>15</v>
      </c>
      <c r="E557" s="8">
        <v>44.64</v>
      </c>
      <c r="F557" s="8">
        <f ca="1">IFERROR(__xludf.DUMMYFUNCTION("INDEX(GOOGLEFINANCE(A557, ""open"", DATE(2025,2,3), DATE(2025,2,3)), 2, 2)"),46.76)</f>
        <v>46.76</v>
      </c>
      <c r="G557" s="8">
        <f ca="1">IFERROR(__xludf.DUMMYFUNCTION("INDEX(GOOGLEFINANCE(A557, ""close"", DATE(2025,2,7), DATE(2025,2,7)), 2, 2)"),46.78)</f>
        <v>46.78</v>
      </c>
      <c r="H557" s="9">
        <f t="shared" ca="1" si="8"/>
        <v>4.2771599657833892E-2</v>
      </c>
      <c r="I557" s="10">
        <f t="shared" ca="1" si="9"/>
        <v>0.42771599657833886</v>
      </c>
      <c r="J557" s="10" t="str">
        <f t="shared" si="10"/>
        <v>Put Spread</v>
      </c>
      <c r="K557" s="10" t="str">
        <f t="shared" ca="1" si="11"/>
        <v>Success</v>
      </c>
    </row>
    <row r="558" spans="1:11" ht="16">
      <c r="A558" s="1" t="s">
        <v>577</v>
      </c>
      <c r="B558" s="7" t="s">
        <v>14</v>
      </c>
      <c r="C558" s="8">
        <v>25.19</v>
      </c>
      <c r="D558" s="8" t="s">
        <v>15</v>
      </c>
      <c r="E558" s="8">
        <v>21.23</v>
      </c>
      <c r="F558" s="8">
        <f ca="1">IFERROR(__xludf.DUMMYFUNCTION("INDEX(GOOGLEFINANCE(A558, ""open"", DATE(2025,2,3), DATE(2025,2,3)), 2, 2)"),23.2)</f>
        <v>23.2</v>
      </c>
      <c r="G558" s="8">
        <f ca="1">IFERROR(__xludf.DUMMYFUNCTION("INDEX(GOOGLEFINANCE(A558, ""close"", DATE(2025,2,7), DATE(2025,2,7)), 2, 2)"),24.55)</f>
        <v>24.55</v>
      </c>
      <c r="H558" s="9">
        <f t="shared" ca="1" si="8"/>
        <v>5.8189655172413852</v>
      </c>
      <c r="I558" s="10">
        <f t="shared" ca="1" si="9"/>
        <v>58.18965517241385</v>
      </c>
      <c r="J558" s="10" t="str">
        <f t="shared" si="10"/>
        <v>Put Spread</v>
      </c>
      <c r="K558" s="10" t="str">
        <f t="shared" ca="1" si="11"/>
        <v>Success</v>
      </c>
    </row>
    <row r="559" spans="1:11" ht="16">
      <c r="A559" s="1" t="s">
        <v>578</v>
      </c>
      <c r="B559" s="7" t="s">
        <v>14</v>
      </c>
      <c r="C559" s="8">
        <v>195.67</v>
      </c>
      <c r="D559" s="8" t="s">
        <v>15</v>
      </c>
      <c r="E559" s="8">
        <v>173.17</v>
      </c>
      <c r="F559" s="8">
        <f ca="1">IFERROR(__xludf.DUMMYFUNCTION("INDEX(GOOGLEFINANCE(A559, ""open"", DATE(2025,2,3), DATE(2025,2,3)), 2, 2)"),181.56)</f>
        <v>181.56</v>
      </c>
      <c r="G559" s="8">
        <f ca="1">IFERROR(__xludf.DUMMYFUNCTION("INDEX(GOOGLEFINANCE(A559, ""close"", DATE(2025,2,7), DATE(2025,2,7)), 2, 2)"),193.94)</f>
        <v>193.94</v>
      </c>
      <c r="H559" s="9">
        <f t="shared" ca="1" si="8"/>
        <v>6.8186825291914497</v>
      </c>
      <c r="I559" s="10">
        <f t="shared" ca="1" si="9"/>
        <v>68.186825291914488</v>
      </c>
      <c r="J559" s="10" t="str">
        <f t="shared" si="10"/>
        <v>Put Spread</v>
      </c>
      <c r="K559" s="10" t="str">
        <f t="shared" ca="1" si="11"/>
        <v>Success</v>
      </c>
    </row>
    <row r="560" spans="1:11" ht="16">
      <c r="A560" s="1" t="s">
        <v>579</v>
      </c>
      <c r="B560" s="7" t="s">
        <v>14</v>
      </c>
      <c r="C560" s="8">
        <v>12.36</v>
      </c>
      <c r="D560" s="8" t="s">
        <v>15</v>
      </c>
      <c r="E560" s="8">
        <v>9.4</v>
      </c>
      <c r="F560" s="8">
        <f ca="1">IFERROR(__xludf.DUMMYFUNCTION("INDEX(GOOGLEFINANCE(A560, ""open"", DATE(2025,2,3), DATE(2025,2,3)), 2, 2)"),10.68)</f>
        <v>10.68</v>
      </c>
      <c r="G560" s="8">
        <f ca="1">IFERROR(__xludf.DUMMYFUNCTION("INDEX(GOOGLEFINANCE(A560, ""close"", DATE(2025,2,7), DATE(2025,2,7)), 2, 2)"),10.63)</f>
        <v>10.63</v>
      </c>
      <c r="H560" s="9">
        <f t="shared" ca="1" si="8"/>
        <v>-0.46816479400748068</v>
      </c>
      <c r="I560" s="10">
        <f t="shared" ca="1" si="9"/>
        <v>-4.6816479400748072</v>
      </c>
      <c r="J560" s="10" t="str">
        <f t="shared" si="10"/>
        <v>Put Spread</v>
      </c>
      <c r="K560" s="10" t="str">
        <f t="shared" ca="1" si="11"/>
        <v>Success</v>
      </c>
    </row>
    <row r="561" spans="1:11" ht="16">
      <c r="A561" s="1" t="s">
        <v>580</v>
      </c>
      <c r="B561" s="7" t="s">
        <v>14</v>
      </c>
      <c r="C561" s="8">
        <v>15.61</v>
      </c>
      <c r="D561" s="8" t="s">
        <v>15</v>
      </c>
      <c r="E561" s="8">
        <v>12.83</v>
      </c>
      <c r="F561" s="8">
        <f ca="1">IFERROR(__xludf.DUMMYFUNCTION("INDEX(GOOGLEFINANCE(A561, ""open"", DATE(2025,2,3), DATE(2025,2,3)), 2, 2)"),13.72)</f>
        <v>13.72</v>
      </c>
      <c r="G561" s="8">
        <f ca="1">IFERROR(__xludf.DUMMYFUNCTION("INDEX(GOOGLEFINANCE(A561, ""close"", DATE(2025,2,7), DATE(2025,2,7)), 2, 2)"),13.96)</f>
        <v>13.96</v>
      </c>
      <c r="H561" s="9">
        <f t="shared" ca="1" si="8"/>
        <v>1.7492711370262406</v>
      </c>
      <c r="I561" s="10">
        <f t="shared" ca="1" si="9"/>
        <v>17.492711370262406</v>
      </c>
      <c r="J561" s="10" t="str">
        <f t="shared" si="10"/>
        <v>Put Spread</v>
      </c>
      <c r="K561" s="10" t="str">
        <f t="shared" ca="1" si="11"/>
        <v>Success</v>
      </c>
    </row>
    <row r="562" spans="1:11" ht="16">
      <c r="A562" s="1" t="s">
        <v>581</v>
      </c>
      <c r="B562" s="7" t="s">
        <v>14</v>
      </c>
      <c r="C562" s="8">
        <v>31.28</v>
      </c>
      <c r="D562" s="8" t="s">
        <v>15</v>
      </c>
      <c r="E562" s="8">
        <v>27.24</v>
      </c>
      <c r="F562" s="8">
        <f ca="1">IFERROR(__xludf.DUMMYFUNCTION("INDEX(GOOGLEFINANCE(A562, ""open"", DATE(2025,2,3), DATE(2025,2,3)), 2, 2)"),28.65)</f>
        <v>28.65</v>
      </c>
      <c r="G562" s="8">
        <f ca="1">IFERROR(__xludf.DUMMYFUNCTION("INDEX(GOOGLEFINANCE(A562, ""close"", DATE(2025,2,7), DATE(2025,2,7)), 2, 2)"),27.82)</f>
        <v>27.82</v>
      </c>
      <c r="H562" s="9">
        <f t="shared" ca="1" si="8"/>
        <v>-2.8970331588132576</v>
      </c>
      <c r="I562" s="10">
        <f t="shared" ca="1" si="9"/>
        <v>-28.970331588132577</v>
      </c>
      <c r="J562" s="10" t="str">
        <f t="shared" si="10"/>
        <v>Put Spread</v>
      </c>
      <c r="K562" s="10" t="str">
        <f t="shared" ca="1" si="11"/>
        <v>Success</v>
      </c>
    </row>
    <row r="563" spans="1:11" ht="16">
      <c r="A563" s="1" t="s">
        <v>582</v>
      </c>
      <c r="B563" s="7" t="s">
        <v>14</v>
      </c>
      <c r="C563" s="8">
        <v>48.82</v>
      </c>
      <c r="D563" s="8" t="s">
        <v>15</v>
      </c>
      <c r="E563" s="8">
        <v>46.79</v>
      </c>
      <c r="F563" s="8">
        <f ca="1">IFERROR(__xludf.DUMMYFUNCTION("INDEX(GOOGLEFINANCE(A563, ""open"", DATE(2025,2,3), DATE(2025,2,3)), 2, 2)"),46.93)</f>
        <v>46.93</v>
      </c>
      <c r="G563" s="8">
        <f ca="1">IFERROR(__xludf.DUMMYFUNCTION("INDEX(GOOGLEFINANCE(A563, ""close"", DATE(2025,2,7), DATE(2025,2,7)), 2, 2)"),47.2)</f>
        <v>47.2</v>
      </c>
      <c r="H563" s="9">
        <f t="shared" ca="1" si="8"/>
        <v>0.57532495205626066</v>
      </c>
      <c r="I563" s="10">
        <f t="shared" ca="1" si="9"/>
        <v>5.7532495205626075</v>
      </c>
      <c r="J563" s="10" t="str">
        <f t="shared" si="10"/>
        <v>Put Spread</v>
      </c>
      <c r="K563" s="10" t="str">
        <f t="shared" ca="1" si="11"/>
        <v>Success</v>
      </c>
    </row>
    <row r="564" spans="1:11" ht="16">
      <c r="A564" s="1" t="s">
        <v>583</v>
      </c>
      <c r="B564" s="7" t="s">
        <v>14</v>
      </c>
      <c r="C564" s="8">
        <v>14.74</v>
      </c>
      <c r="D564" s="8" t="s">
        <v>15</v>
      </c>
      <c r="E564" s="8">
        <v>13.68</v>
      </c>
      <c r="F564" s="8">
        <f ca="1">IFERROR(__xludf.DUMMYFUNCTION("INDEX(GOOGLEFINANCE(A564, ""open"", DATE(2025,2,3), DATE(2025,2,3)), 2, 2)"),14.01)</f>
        <v>14.01</v>
      </c>
      <c r="G564" s="8">
        <f ca="1">IFERROR(__xludf.DUMMYFUNCTION("INDEX(GOOGLEFINANCE(A564, ""close"", DATE(2025,2,7), DATE(2025,2,7)), 2, 2)"),13.72)</f>
        <v>13.72</v>
      </c>
      <c r="H564" s="9">
        <f t="shared" ca="1" si="8"/>
        <v>-2.0699500356887874</v>
      </c>
      <c r="I564" s="10">
        <f t="shared" ca="1" si="9"/>
        <v>-20.699500356887874</v>
      </c>
      <c r="J564" s="10" t="str">
        <f t="shared" si="10"/>
        <v>Put Spread</v>
      </c>
      <c r="K564" s="10" t="str">
        <f t="shared" ca="1" si="11"/>
        <v>Success</v>
      </c>
    </row>
    <row r="565" spans="1:11" ht="16">
      <c r="A565" s="1" t="s">
        <v>584</v>
      </c>
      <c r="B565" s="7" t="s">
        <v>14</v>
      </c>
      <c r="C565" s="8">
        <v>11.16</v>
      </c>
      <c r="D565" s="8" t="s">
        <v>15</v>
      </c>
      <c r="E565" s="8">
        <v>7.46</v>
      </c>
      <c r="F565" s="8">
        <f ca="1">IFERROR(__xludf.DUMMYFUNCTION("INDEX(GOOGLEFINANCE(A565, ""open"", DATE(2025,2,3), DATE(2025,2,3)), 2, 2)"),9)</f>
        <v>9</v>
      </c>
      <c r="G565" s="8">
        <f ca="1">IFERROR(__xludf.DUMMYFUNCTION("INDEX(GOOGLEFINANCE(A565, ""close"", DATE(2025,2,7), DATE(2025,2,7)), 2, 2)"),8.66)</f>
        <v>8.66</v>
      </c>
      <c r="H565" s="9">
        <f t="shared" ca="1" si="8"/>
        <v>-3.7777777777777763</v>
      </c>
      <c r="I565" s="10">
        <f t="shared" ca="1" si="9"/>
        <v>-37.777777777777764</v>
      </c>
      <c r="J565" s="10" t="str">
        <f t="shared" si="10"/>
        <v>Put Spread</v>
      </c>
      <c r="K565" s="10" t="str">
        <f t="shared" ca="1" si="11"/>
        <v>Success</v>
      </c>
    </row>
    <row r="566" spans="1:11" ht="16">
      <c r="A566" s="1" t="s">
        <v>585</v>
      </c>
      <c r="B566" s="7" t="s">
        <v>14</v>
      </c>
      <c r="C566" s="8">
        <v>119.41</v>
      </c>
      <c r="D566" s="8" t="s">
        <v>15</v>
      </c>
      <c r="E566" s="8">
        <v>104.41</v>
      </c>
      <c r="F566" s="8">
        <f ca="1">IFERROR(__xludf.DUMMYFUNCTION("INDEX(GOOGLEFINANCE(A566, ""open"", DATE(2025,2,3), DATE(2025,2,3)), 2, 2)"),105.8)</f>
        <v>105.8</v>
      </c>
      <c r="G566" s="8">
        <f ca="1">IFERROR(__xludf.DUMMYFUNCTION("INDEX(GOOGLEFINANCE(A566, ""close"", DATE(2025,2,7), DATE(2025,2,7)), 2, 2)"),114.27)</f>
        <v>114.27</v>
      </c>
      <c r="H566" s="9">
        <f t="shared" ca="1" si="8"/>
        <v>8.0056710775047257</v>
      </c>
      <c r="I566" s="10">
        <f t="shared" ca="1" si="9"/>
        <v>80.056710775047264</v>
      </c>
      <c r="J566" s="10" t="str">
        <f t="shared" si="10"/>
        <v>Put Spread</v>
      </c>
      <c r="K566" s="10" t="str">
        <f t="shared" ca="1" si="11"/>
        <v>Success</v>
      </c>
    </row>
    <row r="567" spans="1:11" ht="16">
      <c r="A567" s="1" t="s">
        <v>586</v>
      </c>
      <c r="B567" s="7" t="s">
        <v>14</v>
      </c>
      <c r="C567" s="8">
        <v>57.2</v>
      </c>
      <c r="D567" s="8" t="s">
        <v>15</v>
      </c>
      <c r="E567" s="8">
        <v>54.52</v>
      </c>
      <c r="F567" s="8">
        <f ca="1">IFERROR(__xludf.DUMMYFUNCTION("INDEX(GOOGLEFINANCE(A567, ""open"", DATE(2025,2,3), DATE(2025,2,3)), 2, 2)"),54.58)</f>
        <v>54.58</v>
      </c>
      <c r="G567" s="8">
        <f ca="1">IFERROR(__xludf.DUMMYFUNCTION("INDEX(GOOGLEFINANCE(A567, ""close"", DATE(2025,2,7), DATE(2025,2,7)), 2, 2)"),56.77)</f>
        <v>56.77</v>
      </c>
      <c r="H567" s="9">
        <f t="shared" ca="1" si="8"/>
        <v>4.0124587761084731</v>
      </c>
      <c r="I567" s="10">
        <f t="shared" ca="1" si="9"/>
        <v>40.124587761084733</v>
      </c>
      <c r="J567" s="10" t="str">
        <f t="shared" si="10"/>
        <v>Put Spread</v>
      </c>
      <c r="K567" s="10" t="str">
        <f t="shared" ca="1" si="11"/>
        <v>Success</v>
      </c>
    </row>
    <row r="568" spans="1:11" ht="16">
      <c r="A568" s="1" t="s">
        <v>587</v>
      </c>
      <c r="B568" s="7" t="s">
        <v>14</v>
      </c>
      <c r="C568" s="8">
        <v>22</v>
      </c>
      <c r="D568" s="8" t="s">
        <v>15</v>
      </c>
      <c r="E568" s="8">
        <v>19.2</v>
      </c>
      <c r="F568" s="8">
        <f ca="1">IFERROR(__xludf.DUMMYFUNCTION("INDEX(GOOGLEFINANCE(A568, ""open"", DATE(2025,2,3), DATE(2025,2,3)), 2, 2)"),19.97)</f>
        <v>19.97</v>
      </c>
      <c r="G568" s="8">
        <f ca="1">IFERROR(__xludf.DUMMYFUNCTION("INDEX(GOOGLEFINANCE(A568, ""close"", DATE(2025,2,7), DATE(2025,2,7)), 2, 2)"),21.45)</f>
        <v>21.45</v>
      </c>
      <c r="H568" s="9">
        <f t="shared" ca="1" si="8"/>
        <v>7.4111166750125221</v>
      </c>
      <c r="I568" s="10">
        <f t="shared" ca="1" si="9"/>
        <v>74.111166750125221</v>
      </c>
      <c r="J568" s="10" t="str">
        <f t="shared" si="10"/>
        <v>Put Spread</v>
      </c>
      <c r="K568" s="10" t="str">
        <f t="shared" ca="1" si="11"/>
        <v>Success</v>
      </c>
    </row>
    <row r="569" spans="1:11" ht="16">
      <c r="A569" s="1" t="s">
        <v>588</v>
      </c>
      <c r="B569" s="7" t="s">
        <v>38</v>
      </c>
      <c r="C569" s="8">
        <v>145.94999999999999</v>
      </c>
      <c r="D569" s="8" t="s">
        <v>39</v>
      </c>
      <c r="E569" s="8">
        <v>155.43</v>
      </c>
      <c r="F569" s="8">
        <f ca="1">IFERROR(__xludf.DUMMYFUNCTION("INDEX(GOOGLEFINANCE(A569, ""open"", DATE(2025,2,3), DATE(2025,2,3)), 2, 2)"),149.76)</f>
        <v>149.76</v>
      </c>
      <c r="G569" s="8">
        <f ca="1">IFERROR(__xludf.DUMMYFUNCTION("INDEX(GOOGLEFINANCE(A569, ""close"", DATE(2025,2,7), DATE(2025,2,7)), 2, 2)"),144.58)</f>
        <v>144.58000000000001</v>
      </c>
      <c r="H569" s="9">
        <f t="shared" ca="1" si="8"/>
        <v>3.4588675213675071</v>
      </c>
      <c r="I569" s="10">
        <f t="shared" ca="1" si="9"/>
        <v>34.588675213675067</v>
      </c>
      <c r="J569" s="10" t="str">
        <f t="shared" si="10"/>
        <v>Call Spread</v>
      </c>
      <c r="K569" s="10" t="str">
        <f t="shared" ca="1" si="11"/>
        <v>Success</v>
      </c>
    </row>
    <row r="570" spans="1:11" ht="16">
      <c r="A570" s="1" t="s">
        <v>589</v>
      </c>
      <c r="B570" s="7" t="s">
        <v>38</v>
      </c>
      <c r="C570" s="8">
        <v>25.57</v>
      </c>
      <c r="D570" s="8" t="s">
        <v>39</v>
      </c>
      <c r="E570" s="8">
        <v>27.47</v>
      </c>
      <c r="F570" s="8">
        <f ca="1">IFERROR(__xludf.DUMMYFUNCTION("INDEX(GOOGLEFINANCE(A570, ""open"", DATE(2025,2,3), DATE(2025,2,3)), 2, 2)"),26.3)</f>
        <v>26.3</v>
      </c>
      <c r="G570" s="8">
        <f ca="1">IFERROR(__xludf.DUMMYFUNCTION("INDEX(GOOGLEFINANCE(A570, ""close"", DATE(2025,2,7), DATE(2025,2,7)), 2, 2)"),25.74)</f>
        <v>25.74</v>
      </c>
      <c r="H570" s="9">
        <f t="shared" ca="1" si="8"/>
        <v>2.1292775665399324</v>
      </c>
      <c r="I570" s="10">
        <f t="shared" ca="1" si="9"/>
        <v>21.292775665399322</v>
      </c>
      <c r="J570" s="10" t="str">
        <f t="shared" si="10"/>
        <v>Call Spread</v>
      </c>
      <c r="K570" s="10" t="str">
        <f t="shared" ca="1" si="11"/>
        <v>Success</v>
      </c>
    </row>
    <row r="571" spans="1:11" ht="16">
      <c r="A571" s="1" t="s">
        <v>590</v>
      </c>
      <c r="B571" s="7" t="s">
        <v>38</v>
      </c>
      <c r="C571" s="8">
        <v>31.51</v>
      </c>
      <c r="D571" s="8" t="s">
        <v>39</v>
      </c>
      <c r="E571" s="8">
        <v>32.11</v>
      </c>
      <c r="F571" s="8">
        <f ca="1">IFERROR(__xludf.DUMMYFUNCTION("INDEX(GOOGLEFINANCE(A571, ""open"", DATE(2025,2,3), DATE(2025,2,3)), 2, 2)"),31.48)</f>
        <v>31.48</v>
      </c>
      <c r="G571" s="8">
        <f ca="1">IFERROR(__xludf.DUMMYFUNCTION("INDEX(GOOGLEFINANCE(A571, ""close"", DATE(2025,2,7), DATE(2025,2,7)), 2, 2)"),31.55)</f>
        <v>31.55</v>
      </c>
      <c r="H571" s="9">
        <f t="shared" ca="1" si="8"/>
        <v>-0.22236340533672264</v>
      </c>
      <c r="I571" s="10">
        <f t="shared" ca="1" si="9"/>
        <v>-2.2236340533672263</v>
      </c>
      <c r="J571" s="10" t="str">
        <f t="shared" si="10"/>
        <v>Call Spread</v>
      </c>
      <c r="K571" s="10" t="str">
        <f t="shared" ca="1" si="11"/>
        <v>Success</v>
      </c>
    </row>
    <row r="572" spans="1:11" ht="16">
      <c r="A572" s="1" t="s">
        <v>591</v>
      </c>
      <c r="B572" s="7" t="s">
        <v>14</v>
      </c>
      <c r="C572" s="8">
        <v>169.31</v>
      </c>
      <c r="D572" s="8" t="s">
        <v>15</v>
      </c>
      <c r="E572" s="8">
        <v>162.66999999999999</v>
      </c>
      <c r="F572" s="8">
        <f ca="1">IFERROR(__xludf.DUMMYFUNCTION("INDEX(GOOGLEFINANCE(A572, ""open"", DATE(2025,2,3), DATE(2025,2,3)), 2, 2)"),165.47)</f>
        <v>165.47</v>
      </c>
      <c r="G572" s="8">
        <f ca="1">IFERROR(__xludf.DUMMYFUNCTION("INDEX(GOOGLEFINANCE(A572, ""close"", DATE(2025,2,7), DATE(2025,2,7)), 2, 2)"),167.97)</f>
        <v>167.97</v>
      </c>
      <c r="H572" s="9">
        <f t="shared" ca="1" si="8"/>
        <v>1.510847887834653</v>
      </c>
      <c r="I572" s="10">
        <f t="shared" ca="1" si="9"/>
        <v>15.10847887834653</v>
      </c>
      <c r="J572" s="10" t="str">
        <f t="shared" si="10"/>
        <v>Put Spread</v>
      </c>
      <c r="K572" s="10" t="str">
        <f t="shared" ca="1" si="11"/>
        <v>Success</v>
      </c>
    </row>
    <row r="573" spans="1:11" ht="16">
      <c r="A573" s="1" t="s">
        <v>592</v>
      </c>
      <c r="B573" s="7" t="s">
        <v>14</v>
      </c>
      <c r="C573" s="8">
        <v>28.55</v>
      </c>
      <c r="D573" s="8" t="s">
        <v>15</v>
      </c>
      <c r="E573" s="8">
        <v>26.09</v>
      </c>
      <c r="F573" s="8">
        <f ca="1">IFERROR(__xludf.DUMMYFUNCTION("INDEX(GOOGLEFINANCE(A573, ""open"", DATE(2025,2,3), DATE(2025,2,3)), 2, 2)"),26.67)</f>
        <v>26.67</v>
      </c>
      <c r="G573" s="8">
        <f ca="1">IFERROR(__xludf.DUMMYFUNCTION("INDEX(GOOGLEFINANCE(A573, ""close"", DATE(2025,2,7), DATE(2025,2,7)), 2, 2)"),28.38)</f>
        <v>28.38</v>
      </c>
      <c r="H573" s="9">
        <f t="shared" ca="1" si="8"/>
        <v>6.4116985376827795</v>
      </c>
      <c r="I573" s="10">
        <f t="shared" ca="1" si="9"/>
        <v>64.116985376827799</v>
      </c>
      <c r="J573" s="10" t="str">
        <f t="shared" si="10"/>
        <v>Put Spread</v>
      </c>
      <c r="K573" s="10" t="str">
        <f t="shared" ca="1" si="11"/>
        <v>Success</v>
      </c>
    </row>
    <row r="574" spans="1:11" ht="16">
      <c r="A574" s="1" t="s">
        <v>593</v>
      </c>
      <c r="B574" s="7" t="s">
        <v>38</v>
      </c>
      <c r="C574" s="8">
        <v>238.2</v>
      </c>
      <c r="D574" s="8" t="s">
        <v>39</v>
      </c>
      <c r="E574" s="8">
        <v>254.68</v>
      </c>
      <c r="F574" s="8">
        <f ca="1">IFERROR(__xludf.DUMMYFUNCTION("INDEX(GOOGLEFINANCE(A574, ""open"", DATE(2025,2,3), DATE(2025,2,3)), 2, 2)"),247.52)</f>
        <v>247.52</v>
      </c>
      <c r="G574" s="8">
        <f ca="1">IFERROR(__xludf.DUMMYFUNCTION("INDEX(GOOGLEFINANCE(A574, ""close"", DATE(2025,2,7), DATE(2025,2,7)), 2, 2)"),250.6)</f>
        <v>250.6</v>
      </c>
      <c r="H574" s="9">
        <f t="shared" ca="1" si="8"/>
        <v>-1.2443438914027085</v>
      </c>
      <c r="I574" s="10">
        <f t="shared" ca="1" si="9"/>
        <v>-12.443438914027086</v>
      </c>
      <c r="J574" s="10" t="str">
        <f t="shared" si="10"/>
        <v>Call Spread</v>
      </c>
      <c r="K574" s="10" t="str">
        <f t="shared" ca="1" si="11"/>
        <v>Success</v>
      </c>
    </row>
    <row r="575" spans="1:11" ht="16">
      <c r="A575" s="1" t="s">
        <v>594</v>
      </c>
      <c r="B575" s="7" t="s">
        <v>14</v>
      </c>
      <c r="C575" s="8">
        <v>728.27</v>
      </c>
      <c r="D575" s="8" t="s">
        <v>15</v>
      </c>
      <c r="E575" s="8">
        <v>685.83</v>
      </c>
      <c r="F575" s="8">
        <f ca="1">IFERROR(__xludf.DUMMYFUNCTION("INDEX(GOOGLEFINANCE(A575, ""open"", DATE(2025,2,3), DATE(2025,2,3)), 2, 2)"),688.65)</f>
        <v>688.65</v>
      </c>
      <c r="G575" s="8">
        <f ca="1">IFERROR(__xludf.DUMMYFUNCTION("INDEX(GOOGLEFINANCE(A575, ""close"", DATE(2025,2,7), DATE(2025,2,7)), 2, 2)"),683.94)</f>
        <v>683.94</v>
      </c>
      <c r="H575" s="9">
        <f t="shared" ca="1" si="8"/>
        <v>-0.68394685253756227</v>
      </c>
      <c r="I575" s="10">
        <f t="shared" ca="1" si="9"/>
        <v>-6.8394685253756222</v>
      </c>
      <c r="J575" s="10" t="str">
        <f t="shared" si="10"/>
        <v>Put Spread</v>
      </c>
      <c r="K575" s="10" t="str">
        <f t="shared" ca="1" si="11"/>
        <v>No</v>
      </c>
    </row>
    <row r="576" spans="1:11" ht="16">
      <c r="A576" s="1" t="s">
        <v>595</v>
      </c>
      <c r="B576" s="7" t="s">
        <v>14</v>
      </c>
      <c r="C576" s="8">
        <v>35.770000000000003</v>
      </c>
      <c r="D576" s="8" t="s">
        <v>15</v>
      </c>
      <c r="E576" s="8">
        <v>30.15</v>
      </c>
      <c r="F576" s="8">
        <f ca="1">IFERROR(__xludf.DUMMYFUNCTION("INDEX(GOOGLEFINANCE(A576, ""open"", DATE(2025,2,3), DATE(2025,2,3)), 2, 2)"),32.35)</f>
        <v>32.35</v>
      </c>
      <c r="G576" s="8">
        <f ca="1">IFERROR(__xludf.DUMMYFUNCTION("INDEX(GOOGLEFINANCE(A576, ""close"", DATE(2025,2,7), DATE(2025,2,7)), 2, 2)"),40)</f>
        <v>40</v>
      </c>
      <c r="H576" s="9">
        <f t="shared" ca="1" si="8"/>
        <v>23.647604327666148</v>
      </c>
      <c r="I576" s="10">
        <f t="shared" ca="1" si="9"/>
        <v>236.47604327666147</v>
      </c>
      <c r="J576" s="10" t="str">
        <f t="shared" si="10"/>
        <v>Put Spread</v>
      </c>
      <c r="K576" s="10" t="str">
        <f t="shared" ca="1" si="11"/>
        <v>Success</v>
      </c>
    </row>
    <row r="577" spans="1:11" ht="16">
      <c r="A577" s="1" t="s">
        <v>596</v>
      </c>
      <c r="B577" s="7" t="s">
        <v>38</v>
      </c>
      <c r="C577" s="8">
        <v>7.6</v>
      </c>
      <c r="D577" s="8" t="s">
        <v>39</v>
      </c>
      <c r="E577" s="8">
        <v>11.98</v>
      </c>
      <c r="F577" s="8">
        <f ca="1">IFERROR(__xludf.DUMMYFUNCTION("INDEX(GOOGLEFINANCE(A577, ""open"", DATE(2025,2,3), DATE(2025,2,3)), 2, 2)"),9.59)</f>
        <v>9.59</v>
      </c>
      <c r="G577" s="8">
        <f ca="1">IFERROR(__xludf.DUMMYFUNCTION("INDEX(GOOGLEFINANCE(A577, ""close"", DATE(2025,2,7), DATE(2025,2,7)), 2, 2)"),10.02)</f>
        <v>10.02</v>
      </c>
      <c r="H577" s="9">
        <f t="shared" ca="1" si="8"/>
        <v>-4.4838373305526567</v>
      </c>
      <c r="I577" s="10">
        <f t="shared" ca="1" si="9"/>
        <v>-44.838373305526567</v>
      </c>
      <c r="J577" s="10" t="str">
        <f t="shared" si="10"/>
        <v>Call Spread</v>
      </c>
      <c r="K577" s="10" t="str">
        <f t="shared" ca="1" si="11"/>
        <v>Success</v>
      </c>
    </row>
    <row r="578" spans="1:11" ht="16">
      <c r="A578" s="1" t="s">
        <v>597</v>
      </c>
      <c r="B578" s="7" t="s">
        <v>14</v>
      </c>
      <c r="C578" s="8">
        <v>91.3</v>
      </c>
      <c r="D578" s="8" t="s">
        <v>15</v>
      </c>
      <c r="E578" s="8">
        <v>73.680000000000007</v>
      </c>
      <c r="F578" s="8">
        <f ca="1">IFERROR(__xludf.DUMMYFUNCTION("INDEX(GOOGLEFINANCE(A578, ""open"", DATE(2025,2,3), DATE(2025,2,3)), 2, 2)"),80.13)</f>
        <v>80.13</v>
      </c>
      <c r="G578" s="8">
        <f ca="1">IFERROR(__xludf.DUMMYFUNCTION("INDEX(GOOGLEFINANCE(A578, ""close"", DATE(2025,2,7), DATE(2025,2,7)), 2, 2)"),110.85)</f>
        <v>110.85</v>
      </c>
      <c r="H578" s="9">
        <f t="shared" ca="1" si="8"/>
        <v>38.337701235492325</v>
      </c>
      <c r="I578" s="10">
        <f t="shared" ca="1" si="9"/>
        <v>383.37701235492329</v>
      </c>
      <c r="J578" s="10" t="str">
        <f t="shared" si="10"/>
        <v>Put Spread</v>
      </c>
      <c r="K578" s="10" t="str">
        <f t="shared" ca="1" si="11"/>
        <v>Success</v>
      </c>
    </row>
    <row r="579" spans="1:11" ht="16">
      <c r="A579" s="1" t="s">
        <v>598</v>
      </c>
      <c r="B579" s="7" t="s">
        <v>14</v>
      </c>
      <c r="C579" s="8">
        <v>2.12</v>
      </c>
      <c r="D579" s="8" t="s">
        <v>15</v>
      </c>
      <c r="E579" s="8">
        <v>1.6</v>
      </c>
      <c r="F579" s="8">
        <f ca="1">IFERROR(__xludf.DUMMYFUNCTION("INDEX(GOOGLEFINANCE(A579, ""open"", DATE(2025,2,3), DATE(2025,2,3)), 2, 2)"),1.79)</f>
        <v>1.79</v>
      </c>
      <c r="G579" s="8">
        <f ca="1">IFERROR(__xludf.DUMMYFUNCTION("INDEX(GOOGLEFINANCE(A579, ""close"", DATE(2025,2,7), DATE(2025,2,7)), 2, 2)"),1.84)</f>
        <v>1.84</v>
      </c>
      <c r="H579" s="9">
        <f t="shared" ca="1" si="8"/>
        <v>2.793296089385477</v>
      </c>
      <c r="I579" s="10">
        <f t="shared" ca="1" si="9"/>
        <v>27.932960893854769</v>
      </c>
      <c r="J579" s="10" t="str">
        <f t="shared" si="10"/>
        <v>Put Spread</v>
      </c>
      <c r="K579" s="10" t="str">
        <f t="shared" ca="1" si="11"/>
        <v>Success</v>
      </c>
    </row>
    <row r="580" spans="1:11" ht="16">
      <c r="A580" s="1" t="s">
        <v>599</v>
      </c>
      <c r="B580" s="7" t="s">
        <v>14</v>
      </c>
      <c r="C580" s="8">
        <v>134.56</v>
      </c>
      <c r="D580" s="8" t="s">
        <v>15</v>
      </c>
      <c r="E580" s="8">
        <v>125.84</v>
      </c>
      <c r="F580" s="8">
        <f ca="1">IFERROR(__xludf.DUMMYFUNCTION("INDEX(GOOGLEFINANCE(A580, ""open"", DATE(2025,2,3), DATE(2025,2,3)), 2, 2)"),128.91)</f>
        <v>128.91</v>
      </c>
      <c r="G580" s="8">
        <f ca="1">IFERROR(__xludf.DUMMYFUNCTION("INDEX(GOOGLEFINANCE(A580, ""close"", DATE(2025,2,7), DATE(2025,2,7)), 2, 2)"),144.41)</f>
        <v>144.41</v>
      </c>
      <c r="H580" s="9">
        <f t="shared" ca="1" si="8"/>
        <v>12.023892638274766</v>
      </c>
      <c r="I580" s="10">
        <f t="shared" ca="1" si="9"/>
        <v>120.23892638274766</v>
      </c>
      <c r="J580" s="10" t="str">
        <f t="shared" si="10"/>
        <v>Put Spread</v>
      </c>
      <c r="K580" s="10" t="str">
        <f t="shared" ca="1" si="11"/>
        <v>Success</v>
      </c>
    </row>
    <row r="581" spans="1:11" ht="16">
      <c r="A581" s="1" t="s">
        <v>600</v>
      </c>
      <c r="B581" s="7" t="s">
        <v>14</v>
      </c>
      <c r="C581" s="8">
        <v>50.7</v>
      </c>
      <c r="D581" s="8" t="s">
        <v>15</v>
      </c>
      <c r="E581" s="8">
        <v>48.74</v>
      </c>
      <c r="F581" s="8">
        <f ca="1">IFERROR(__xludf.DUMMYFUNCTION("INDEX(GOOGLEFINANCE(A581, ""open"", DATE(2025,2,3), DATE(2025,2,3)), 2, 2)"),48.67)</f>
        <v>48.67</v>
      </c>
      <c r="G581" s="8">
        <f ca="1">IFERROR(__xludf.DUMMYFUNCTION("INDEX(GOOGLEFINANCE(A581, ""close"", DATE(2025,2,7), DATE(2025,2,7)), 2, 2)"),49.5)</f>
        <v>49.5</v>
      </c>
      <c r="H581" s="9">
        <f t="shared" ca="1" si="8"/>
        <v>1.7053626463940792</v>
      </c>
      <c r="I581" s="10">
        <f t="shared" ca="1" si="9"/>
        <v>17.053626463940791</v>
      </c>
      <c r="J581" s="10" t="str">
        <f t="shared" si="10"/>
        <v>Put Spread</v>
      </c>
      <c r="K581" s="10" t="str">
        <f t="shared" ca="1" si="11"/>
        <v>Success</v>
      </c>
    </row>
    <row r="582" spans="1:11" ht="16">
      <c r="A582" s="1" t="s">
        <v>601</v>
      </c>
      <c r="B582" s="7" t="s">
        <v>14</v>
      </c>
      <c r="C582" s="8">
        <v>123.93</v>
      </c>
      <c r="D582" s="8" t="s">
        <v>15</v>
      </c>
      <c r="E582" s="8">
        <v>117.25</v>
      </c>
      <c r="F582" s="8">
        <f ca="1">IFERROR(__xludf.DUMMYFUNCTION("INDEX(GOOGLEFINANCE(A582, ""open"", DATE(2025,2,3), DATE(2025,2,3)), 2, 2)"),118.88)</f>
        <v>118.88</v>
      </c>
      <c r="G582" s="8">
        <f ca="1">IFERROR(__xludf.DUMMYFUNCTION("INDEX(GOOGLEFINANCE(A582, ""close"", DATE(2025,2,7), DATE(2025,2,7)), 2, 2)"),119.82)</f>
        <v>119.82</v>
      </c>
      <c r="H582" s="9">
        <f t="shared" ca="1" si="8"/>
        <v>0.79071332436069808</v>
      </c>
      <c r="I582" s="10">
        <f t="shared" ca="1" si="9"/>
        <v>7.9071332436069808</v>
      </c>
      <c r="J582" s="10" t="str">
        <f t="shared" si="10"/>
        <v>Put Spread</v>
      </c>
      <c r="K582" s="10" t="str">
        <f t="shared" ca="1" si="11"/>
        <v>Success</v>
      </c>
    </row>
    <row r="583" spans="1:11" ht="16">
      <c r="A583" s="1" t="s">
        <v>602</v>
      </c>
      <c r="B583" s="7" t="s">
        <v>14</v>
      </c>
      <c r="C583" s="8">
        <v>15.38</v>
      </c>
      <c r="D583" s="8" t="s">
        <v>15</v>
      </c>
      <c r="E583" s="8">
        <v>13.92</v>
      </c>
      <c r="F583" s="8">
        <f ca="1">IFERROR(__xludf.DUMMYFUNCTION("INDEX(GOOGLEFINANCE(A583, ""open"", DATE(2025,2,3), DATE(2025,2,3)), 2, 2)"),14.58)</f>
        <v>14.58</v>
      </c>
      <c r="G583" s="8">
        <f ca="1">IFERROR(__xludf.DUMMYFUNCTION("INDEX(GOOGLEFINANCE(A583, ""close"", DATE(2025,2,7), DATE(2025,2,7)), 2, 2)"),14.37)</f>
        <v>14.37</v>
      </c>
      <c r="H583" s="9">
        <f t="shared" ca="1" si="8"/>
        <v>-1.4403292181070015</v>
      </c>
      <c r="I583" s="10">
        <f t="shared" ca="1" si="9"/>
        <v>-14.403292181070015</v>
      </c>
      <c r="J583" s="10" t="str">
        <f t="shared" si="10"/>
        <v>Put Spread</v>
      </c>
      <c r="K583" s="10" t="str">
        <f t="shared" ca="1" si="11"/>
        <v>Success</v>
      </c>
    </row>
    <row r="584" spans="1:11" ht="16">
      <c r="A584" s="1" t="s">
        <v>603</v>
      </c>
      <c r="B584" s="7" t="s">
        <v>38</v>
      </c>
      <c r="C584" s="8">
        <v>4.09</v>
      </c>
      <c r="D584" s="8" t="s">
        <v>39</v>
      </c>
      <c r="E584" s="8">
        <v>4.51</v>
      </c>
      <c r="F584" s="8">
        <f ca="1">IFERROR(__xludf.DUMMYFUNCTION("INDEX(GOOGLEFINANCE(A584, ""open"", DATE(2025,2,3), DATE(2025,2,3)), 2, 2)"),4.24)</f>
        <v>4.24</v>
      </c>
      <c r="G584" s="8">
        <f ca="1">IFERROR(__xludf.DUMMYFUNCTION("INDEX(GOOGLEFINANCE(A584, ""close"", DATE(2025,2,7), DATE(2025,2,7)), 2, 2)"),4.21)</f>
        <v>4.21</v>
      </c>
      <c r="H584" s="9">
        <f t="shared" ca="1" si="8"/>
        <v>0.70754716981132659</v>
      </c>
      <c r="I584" s="10">
        <f t="shared" ca="1" si="9"/>
        <v>7.0754716981132662</v>
      </c>
      <c r="J584" s="10" t="str">
        <f t="shared" si="10"/>
        <v>Call Spread</v>
      </c>
      <c r="K584" s="10" t="str">
        <f t="shared" ca="1" si="11"/>
        <v>Success</v>
      </c>
    </row>
    <row r="585" spans="1:11" ht="16">
      <c r="A585" s="1" t="s">
        <v>604</v>
      </c>
      <c r="B585" s="7" t="s">
        <v>14</v>
      </c>
      <c r="C585" s="8">
        <v>63.27</v>
      </c>
      <c r="D585" s="8" t="s">
        <v>15</v>
      </c>
      <c r="E585" s="8">
        <v>56.33</v>
      </c>
      <c r="F585" s="8">
        <f ca="1">IFERROR(__xludf.DUMMYFUNCTION("INDEX(GOOGLEFINANCE(A585, ""open"", DATE(2025,2,3), DATE(2025,2,3)), 2, 2)"),57.82)</f>
        <v>57.82</v>
      </c>
      <c r="G585" s="8">
        <f ca="1">IFERROR(__xludf.DUMMYFUNCTION("INDEX(GOOGLEFINANCE(A585, ""close"", DATE(2025,2,7), DATE(2025,2,7)), 2, 2)"),59.3)</f>
        <v>59.3</v>
      </c>
      <c r="H585" s="9">
        <f t="shared" ca="1" si="8"/>
        <v>2.5596679349705931</v>
      </c>
      <c r="I585" s="10">
        <f t="shared" ca="1" si="9"/>
        <v>25.596679349705934</v>
      </c>
      <c r="J585" s="10" t="str">
        <f t="shared" si="10"/>
        <v>Put Spread</v>
      </c>
      <c r="K585" s="10" t="str">
        <f t="shared" ca="1" si="11"/>
        <v>Success</v>
      </c>
    </row>
    <row r="586" spans="1:11" ht="16">
      <c r="A586" s="1" t="s">
        <v>605</v>
      </c>
      <c r="B586" s="7" t="s">
        <v>14</v>
      </c>
      <c r="C586" s="8">
        <v>37.97</v>
      </c>
      <c r="D586" s="8" t="s">
        <v>15</v>
      </c>
      <c r="E586" s="8">
        <v>35.51</v>
      </c>
      <c r="F586" s="8">
        <f ca="1">IFERROR(__xludf.DUMMYFUNCTION("INDEX(GOOGLEFINANCE(A586, ""open"", DATE(2025,2,3), DATE(2025,2,3)), 2, 2)"),37.37)</f>
        <v>37.369999999999997</v>
      </c>
      <c r="G586" s="8">
        <f ca="1">IFERROR(__xludf.DUMMYFUNCTION("INDEX(GOOGLEFINANCE(A586, ""close"", DATE(2025,2,7), DATE(2025,2,7)), 2, 2)"),36.73)</f>
        <v>36.729999999999997</v>
      </c>
      <c r="H586" s="9">
        <f t="shared" ca="1" si="8"/>
        <v>-1.7126036928017143</v>
      </c>
      <c r="I586" s="10">
        <f t="shared" ca="1" si="9"/>
        <v>-17.126036928017143</v>
      </c>
      <c r="J586" s="10" t="str">
        <f t="shared" si="10"/>
        <v>Put Spread</v>
      </c>
      <c r="K586" s="10" t="str">
        <f t="shared" ca="1" si="11"/>
        <v>Success</v>
      </c>
    </row>
    <row r="587" spans="1:11" ht="16">
      <c r="A587" s="1" t="s">
        <v>606</v>
      </c>
      <c r="B587" s="7" t="s">
        <v>14</v>
      </c>
      <c r="C587" s="8">
        <v>73.23</v>
      </c>
      <c r="D587" s="8" t="s">
        <v>15</v>
      </c>
      <c r="E587" s="8">
        <v>62.35</v>
      </c>
      <c r="F587" s="8">
        <f ca="1">IFERROR(__xludf.DUMMYFUNCTION("INDEX(GOOGLEFINANCE(A587, ""open"", DATE(2025,2,3), DATE(2025,2,3)), 2, 2)"),65.85)</f>
        <v>65.849999999999994</v>
      </c>
      <c r="G587" s="8">
        <f ca="1">IFERROR(__xludf.DUMMYFUNCTION("INDEX(GOOGLEFINANCE(A587, ""close"", DATE(2025,2,7), DATE(2025,2,7)), 2, 2)"),69.07)</f>
        <v>69.069999999999993</v>
      </c>
      <c r="H587" s="9">
        <f t="shared" ca="1" si="8"/>
        <v>4.8899012908124515</v>
      </c>
      <c r="I587" s="10">
        <f t="shared" ca="1" si="9"/>
        <v>48.899012908124512</v>
      </c>
      <c r="J587" s="10" t="str">
        <f t="shared" si="10"/>
        <v>Put Spread</v>
      </c>
      <c r="K587" s="10" t="str">
        <f t="shared" ca="1" si="11"/>
        <v>Success</v>
      </c>
    </row>
    <row r="588" spans="1:11" ht="16">
      <c r="A588" s="1" t="s">
        <v>607</v>
      </c>
      <c r="B588" s="7" t="s">
        <v>38</v>
      </c>
      <c r="C588" s="8">
        <v>113.15</v>
      </c>
      <c r="D588" s="8" t="s">
        <v>39</v>
      </c>
      <c r="E588" s="8">
        <v>122.59</v>
      </c>
      <c r="F588" s="8">
        <f ca="1">IFERROR(__xludf.DUMMYFUNCTION("INDEX(GOOGLEFINANCE(A588, ""open"", DATE(2025,2,3), DATE(2025,2,3)), 2, 2)"),117.39)</f>
        <v>117.39</v>
      </c>
      <c r="G588" s="8">
        <f ca="1">IFERROR(__xludf.DUMMYFUNCTION("INDEX(GOOGLEFINANCE(A588, ""close"", DATE(2025,2,7), DATE(2025,2,7)), 2, 2)"),120.3)</f>
        <v>120.3</v>
      </c>
      <c r="H588" s="9">
        <f t="shared" ca="1" si="8"/>
        <v>-2.4789164324048016</v>
      </c>
      <c r="I588" s="10">
        <f t="shared" ca="1" si="9"/>
        <v>-24.789164324048016</v>
      </c>
      <c r="J588" s="10" t="str">
        <f t="shared" si="10"/>
        <v>Call Spread</v>
      </c>
      <c r="K588" s="10" t="str">
        <f t="shared" ca="1" si="11"/>
        <v>Success</v>
      </c>
    </row>
    <row r="589" spans="1:11" ht="16">
      <c r="A589" s="1" t="s">
        <v>608</v>
      </c>
      <c r="B589" s="7" t="s">
        <v>14</v>
      </c>
      <c r="C589" s="8">
        <v>201.68</v>
      </c>
      <c r="D589" s="8" t="s">
        <v>15</v>
      </c>
      <c r="E589" s="8">
        <v>185.28</v>
      </c>
      <c r="F589" s="8">
        <f ca="1">IFERROR(__xludf.DUMMYFUNCTION("INDEX(GOOGLEFINANCE(A589, ""open"", DATE(2025,2,3), DATE(2025,2,3)), 2, 2)"),190)</f>
        <v>190</v>
      </c>
      <c r="G589" s="8">
        <f ca="1">IFERROR(__xludf.DUMMYFUNCTION("INDEX(GOOGLEFINANCE(A589, ""close"", DATE(2025,2,7), DATE(2025,2,7)), 2, 2)"),169.02)</f>
        <v>169.02</v>
      </c>
      <c r="H589" s="9">
        <f t="shared" ca="1" si="8"/>
        <v>-11.04210526315789</v>
      </c>
      <c r="I589" s="10">
        <f t="shared" ca="1" si="9"/>
        <v>-110.4210526315789</v>
      </c>
      <c r="J589" s="10" t="str">
        <f t="shared" si="10"/>
        <v>Put Spread</v>
      </c>
      <c r="K589" s="10" t="str">
        <f t="shared" ca="1" si="11"/>
        <v>No</v>
      </c>
    </row>
    <row r="590" spans="1:11" ht="16">
      <c r="A590" s="1" t="s">
        <v>609</v>
      </c>
      <c r="B590" s="7" t="s">
        <v>14</v>
      </c>
      <c r="C590" s="8">
        <v>8.8699999999999992</v>
      </c>
      <c r="D590" s="8" t="s">
        <v>15</v>
      </c>
      <c r="E590" s="8">
        <v>6.63</v>
      </c>
      <c r="F590" s="8">
        <f ca="1">IFERROR(__xludf.DUMMYFUNCTION("INDEX(GOOGLEFINANCE(A590, ""open"", DATE(2025,2,3), DATE(2025,2,3)), 2, 2)"),7.53)</f>
        <v>7.53</v>
      </c>
      <c r="G590" s="8">
        <f ca="1">IFERROR(__xludf.DUMMYFUNCTION("INDEX(GOOGLEFINANCE(A590, ""close"", DATE(2025,2,7), DATE(2025,2,7)), 2, 2)"),8.37)</f>
        <v>8.3699999999999992</v>
      </c>
      <c r="H590" s="9">
        <f t="shared" ca="1" si="8"/>
        <v>11.155378486055763</v>
      </c>
      <c r="I590" s="10">
        <f t="shared" ca="1" si="9"/>
        <v>111.55378486055763</v>
      </c>
      <c r="J590" s="10" t="str">
        <f t="shared" si="10"/>
        <v>Put Spread</v>
      </c>
      <c r="K590" s="10" t="str">
        <f t="shared" ca="1" si="11"/>
        <v>Success</v>
      </c>
    </row>
    <row r="591" spans="1:11" ht="16">
      <c r="A591" s="1" t="s">
        <v>610</v>
      </c>
      <c r="B591" s="7" t="s">
        <v>14</v>
      </c>
      <c r="C591" s="8">
        <v>325.94</v>
      </c>
      <c r="D591" s="8" t="s">
        <v>15</v>
      </c>
      <c r="E591" s="8">
        <v>289.27999999999997</v>
      </c>
      <c r="F591" s="8">
        <f ca="1">IFERROR(__xludf.DUMMYFUNCTION("INDEX(GOOGLEFINANCE(A591, ""open"", DATE(2025,2,3), DATE(2025,2,3)), 2, 2)"),298.31)</f>
        <v>298.31</v>
      </c>
      <c r="G591" s="8">
        <f ca="1">IFERROR(__xludf.DUMMYFUNCTION("INDEX(GOOGLEFINANCE(A591, ""close"", DATE(2025,2,7), DATE(2025,2,7)), 2, 2)"),312.24)</f>
        <v>312.24</v>
      </c>
      <c r="H591" s="9">
        <f t="shared" ca="1" si="8"/>
        <v>4.6696389661761275</v>
      </c>
      <c r="I591" s="10">
        <f t="shared" ca="1" si="9"/>
        <v>46.69638966176128</v>
      </c>
      <c r="J591" s="10" t="str">
        <f t="shared" si="10"/>
        <v>Put Spread</v>
      </c>
      <c r="K591" s="10" t="str">
        <f t="shared" ca="1" si="11"/>
        <v>Success</v>
      </c>
    </row>
    <row r="592" spans="1:11" ht="16">
      <c r="A592" s="1" t="s">
        <v>611</v>
      </c>
      <c r="B592" s="8" t="s">
        <v>14</v>
      </c>
      <c r="C592" s="8">
        <v>93.79</v>
      </c>
      <c r="D592" s="8" t="s">
        <v>15</v>
      </c>
      <c r="E592" s="8">
        <v>83.37</v>
      </c>
      <c r="F592" s="8">
        <f ca="1">IFERROR(__xludf.DUMMYFUNCTION("INDEX(GOOGLEFINANCE(A592, ""open"", DATE(2025,2,3), DATE(2025,2,3)), 2, 2)"),86.5)</f>
        <v>86.5</v>
      </c>
      <c r="G592" s="8">
        <f ca="1">IFERROR(__xludf.DUMMYFUNCTION("INDEX(GOOGLEFINANCE(A592, ""close"", DATE(2025,2,7), DATE(2025,2,7)), 2, 2)"),77.31)</f>
        <v>77.31</v>
      </c>
      <c r="H592" s="9">
        <f t="shared" ca="1" si="8"/>
        <v>-10.624277456647397</v>
      </c>
      <c r="I592" s="10">
        <f t="shared" ca="1" si="9"/>
        <v>-106.24277456647397</v>
      </c>
      <c r="J592" s="10" t="str">
        <f t="shared" si="10"/>
        <v>Put Spread</v>
      </c>
      <c r="K592" s="10" t="str">
        <f t="shared" ca="1" si="11"/>
        <v>No</v>
      </c>
    </row>
    <row r="593" spans="1:11" ht="16">
      <c r="A593" s="1" t="s">
        <v>612</v>
      </c>
      <c r="B593" s="8" t="s">
        <v>14</v>
      </c>
      <c r="C593" s="8">
        <v>42.35</v>
      </c>
      <c r="D593" s="8" t="s">
        <v>15</v>
      </c>
      <c r="E593" s="8">
        <v>36.79</v>
      </c>
      <c r="F593" s="8">
        <f ca="1">IFERROR(__xludf.DUMMYFUNCTION("INDEX(GOOGLEFINANCE(A593, ""open"", DATE(2025,2,3), DATE(2025,2,3)), 2, 2)"),38.46)</f>
        <v>38.46</v>
      </c>
      <c r="G593" s="8">
        <f ca="1">IFERROR(__xludf.DUMMYFUNCTION("INDEX(GOOGLEFINANCE(A593, ""close"", DATE(2025,2,7), DATE(2025,2,7)), 2, 2)"),38.05)</f>
        <v>38.049999999999997</v>
      </c>
      <c r="H593" s="9">
        <f t="shared" ca="1" si="8"/>
        <v>-1.0660426417056779</v>
      </c>
      <c r="I593" s="10">
        <f t="shared" ca="1" si="9"/>
        <v>-10.660426417056778</v>
      </c>
      <c r="J593" s="10" t="str">
        <f t="shared" si="10"/>
        <v>Put Spread</v>
      </c>
      <c r="K593" s="10" t="str">
        <f t="shared" ca="1" si="11"/>
        <v>Success</v>
      </c>
    </row>
    <row r="594" spans="1:11" ht="16">
      <c r="A594" s="1" t="s">
        <v>613</v>
      </c>
      <c r="B594" s="8" t="s">
        <v>14</v>
      </c>
      <c r="C594" s="8">
        <v>182.39</v>
      </c>
      <c r="D594" s="8" t="s">
        <v>15</v>
      </c>
      <c r="E594" s="8">
        <v>163.47</v>
      </c>
      <c r="F594" s="8">
        <f ca="1">IFERROR(__xludf.DUMMYFUNCTION("INDEX(GOOGLEFINANCE(A594, ""open"", DATE(2025,2,3), DATE(2025,2,3)), 2, 2)"),168.88)</f>
        <v>168.88</v>
      </c>
      <c r="G594" s="8">
        <f ca="1">IFERROR(__xludf.DUMMYFUNCTION("INDEX(GOOGLEFINANCE(A594, ""close"", DATE(2025,2,7), DATE(2025,2,7)), 2, 2)"),167.96)</f>
        <v>167.96</v>
      </c>
      <c r="H594" s="9">
        <f t="shared" ca="1" si="8"/>
        <v>-0.54476551397441231</v>
      </c>
      <c r="I594" s="10">
        <f t="shared" ca="1" si="9"/>
        <v>-5.4476551397441231</v>
      </c>
      <c r="J594" s="10" t="str">
        <f t="shared" si="10"/>
        <v>Put Spread</v>
      </c>
      <c r="K594" s="10" t="str">
        <f t="shared" ca="1" si="11"/>
        <v>Success</v>
      </c>
    </row>
    <row r="595" spans="1:11" ht="16">
      <c r="A595" s="1" t="s">
        <v>614</v>
      </c>
      <c r="B595" s="8" t="s">
        <v>14</v>
      </c>
      <c r="C595" s="8">
        <v>32.56</v>
      </c>
      <c r="D595" s="8" t="s">
        <v>15</v>
      </c>
      <c r="E595" s="8">
        <v>30.1</v>
      </c>
      <c r="F595" s="8">
        <f ca="1">IFERROR(__xludf.DUMMYFUNCTION("INDEX(GOOGLEFINANCE(A595, ""open"", DATE(2025,2,3), DATE(2025,2,3)), 2, 2)"),32.42)</f>
        <v>32.42</v>
      </c>
      <c r="G595" s="8">
        <f ca="1">IFERROR(__xludf.DUMMYFUNCTION("INDEX(GOOGLEFINANCE(A595, ""close"", DATE(2025,2,7), DATE(2025,2,7)), 2, 2)"),31.29)</f>
        <v>31.29</v>
      </c>
      <c r="H595" s="9">
        <f t="shared" ca="1" si="8"/>
        <v>-3.4855027760641657</v>
      </c>
      <c r="I595" s="10">
        <f t="shared" ca="1" si="9"/>
        <v>-34.855027760641654</v>
      </c>
      <c r="J595" s="10" t="str">
        <f t="shared" si="10"/>
        <v>Put Spread</v>
      </c>
      <c r="K595" s="10" t="str">
        <f t="shared" ca="1" si="11"/>
        <v>Success</v>
      </c>
    </row>
    <row r="596" spans="1:11" ht="16">
      <c r="A596" s="1" t="s">
        <v>615</v>
      </c>
      <c r="B596" s="8" t="s">
        <v>38</v>
      </c>
      <c r="C596" s="8">
        <v>106.46</v>
      </c>
      <c r="D596" s="8" t="s">
        <v>39</v>
      </c>
      <c r="E596" s="8">
        <v>117.56</v>
      </c>
      <c r="F596" s="8">
        <f ca="1">IFERROR(__xludf.DUMMYFUNCTION("INDEX(GOOGLEFINANCE(A596, ""open"", DATE(2025,2,3), DATE(2025,2,3)), 2, 2)"),108.25)</f>
        <v>108.25</v>
      </c>
      <c r="G596" s="8">
        <f ca="1">IFERROR(__xludf.DUMMYFUNCTION("INDEX(GOOGLEFINANCE(A596, ""close"", DATE(2025,2,7), DATE(2025,2,7)), 2, 2)"),112.15)</f>
        <v>112.15</v>
      </c>
      <c r="H596" s="9">
        <f t="shared" ca="1" si="8"/>
        <v>-3.6027713625866107</v>
      </c>
      <c r="I596" s="10">
        <f t="shared" ca="1" si="9"/>
        <v>-36.027713625866106</v>
      </c>
      <c r="J596" s="10" t="str">
        <f t="shared" si="10"/>
        <v>Call Spread</v>
      </c>
      <c r="K596" s="10" t="str">
        <f t="shared" ca="1" si="11"/>
        <v>Success</v>
      </c>
    </row>
    <row r="597" spans="1:11" ht="16">
      <c r="A597" s="1" t="s">
        <v>616</v>
      </c>
      <c r="B597" s="8" t="s">
        <v>38</v>
      </c>
      <c r="C597" s="8">
        <v>508.55</v>
      </c>
      <c r="D597" s="8" t="s">
        <v>39</v>
      </c>
      <c r="E597" s="8">
        <v>536.03</v>
      </c>
      <c r="F597" s="8">
        <f ca="1">IFERROR(__xludf.DUMMYFUNCTION("INDEX(GOOGLEFINANCE(A597, ""open"", DATE(2025,2,3), DATE(2025,2,3)), 2, 2)"),513.47)</f>
        <v>513.47</v>
      </c>
      <c r="G597" s="8">
        <f ca="1">IFERROR(__xludf.DUMMYFUNCTION("INDEX(GOOGLEFINANCE(A597, ""close"", DATE(2025,2,7), DATE(2025,2,7)), 2, 2)"),522.92)</f>
        <v>522.91999999999996</v>
      </c>
      <c r="H597" s="9">
        <f t="shared" ca="1" si="8"/>
        <v>-1.840419109198187</v>
      </c>
      <c r="I597" s="10">
        <f t="shared" ca="1" si="9"/>
        <v>-18.404191091981872</v>
      </c>
      <c r="J597" s="10" t="str">
        <f t="shared" si="10"/>
        <v>Call Spread</v>
      </c>
      <c r="K597" s="10" t="str">
        <f t="shared" ca="1" si="11"/>
        <v>Success</v>
      </c>
    </row>
    <row r="598" spans="1:11" ht="16">
      <c r="A598" s="1" t="s">
        <v>617</v>
      </c>
      <c r="B598" s="8" t="s">
        <v>14</v>
      </c>
      <c r="C598" s="8">
        <v>220.93</v>
      </c>
      <c r="D598" s="8" t="s">
        <v>15</v>
      </c>
      <c r="E598" s="8">
        <v>209.05</v>
      </c>
      <c r="F598" s="8">
        <f ca="1">IFERROR(__xludf.DUMMYFUNCTION("INDEX(GOOGLEFINANCE(A598, ""open"", DATE(2025,2,3), DATE(2025,2,3)), 2, 2)"),211.42)</f>
        <v>211.42</v>
      </c>
      <c r="G598" s="8">
        <f ca="1">IFERROR(__xludf.DUMMYFUNCTION("INDEX(GOOGLEFINANCE(A598, ""close"", DATE(2025,2,7), DATE(2025,2,7)), 2, 2)"),215.35)</f>
        <v>215.35</v>
      </c>
      <c r="H598" s="9">
        <f t="shared" ca="1" si="8"/>
        <v>1.8588591429382306</v>
      </c>
      <c r="I598" s="10">
        <f t="shared" ca="1" si="9"/>
        <v>18.588591429382305</v>
      </c>
      <c r="J598" s="10" t="str">
        <f t="shared" si="10"/>
        <v>Put Spread</v>
      </c>
      <c r="K598" s="10" t="str">
        <f t="shared" ca="1" si="11"/>
        <v>Success</v>
      </c>
    </row>
    <row r="599" spans="1:11" ht="16">
      <c r="A599" s="1" t="s">
        <v>618</v>
      </c>
      <c r="B599" s="8" t="s">
        <v>14</v>
      </c>
      <c r="C599" s="8">
        <v>5.63</v>
      </c>
      <c r="D599" s="8" t="s">
        <v>15</v>
      </c>
      <c r="E599" s="8">
        <v>4.71</v>
      </c>
      <c r="F599" s="8">
        <f ca="1">IFERROR(__xludf.DUMMYFUNCTION("INDEX(GOOGLEFINANCE(A599, ""open"", DATE(2025,2,3), DATE(2025,2,3)), 2, 2)"),5)</f>
        <v>5</v>
      </c>
      <c r="G599" s="8">
        <f ca="1">IFERROR(__xludf.DUMMYFUNCTION("INDEX(GOOGLEFINANCE(A599, ""close"", DATE(2025,2,7), DATE(2025,2,7)), 2, 2)"),4.94)</f>
        <v>4.9400000000000004</v>
      </c>
      <c r="H599" s="9">
        <f t="shared" ca="1" si="8"/>
        <v>-1.1999999999999922</v>
      </c>
      <c r="I599" s="10">
        <f t="shared" ca="1" si="9"/>
        <v>-11.999999999999922</v>
      </c>
      <c r="J599" s="10" t="str">
        <f t="shared" si="10"/>
        <v>Put Spread</v>
      </c>
      <c r="K599" s="10" t="str">
        <f t="shared" ca="1" si="11"/>
        <v>Success</v>
      </c>
    </row>
    <row r="600" spans="1:11" ht="16">
      <c r="A600" s="1" t="s">
        <v>619</v>
      </c>
      <c r="B600" s="8" t="s">
        <v>14</v>
      </c>
      <c r="C600" s="8">
        <v>9.2100000000000009</v>
      </c>
      <c r="D600" s="8" t="s">
        <v>15</v>
      </c>
      <c r="E600" s="8">
        <v>7.21</v>
      </c>
      <c r="F600" s="8">
        <f ca="1">IFERROR(__xludf.DUMMYFUNCTION("INDEX(GOOGLEFINANCE(A600, ""open"", DATE(2025,2,3), DATE(2025,2,3)), 2, 2)"),7.87)</f>
        <v>7.87</v>
      </c>
      <c r="G600" s="8">
        <f ca="1">IFERROR(__xludf.DUMMYFUNCTION("INDEX(GOOGLEFINANCE(A600, ""close"", DATE(2025,2,7), DATE(2025,2,7)), 2, 2)"),7.38)</f>
        <v>7.38</v>
      </c>
      <c r="H600" s="9">
        <f t="shared" ca="1" si="8"/>
        <v>-6.2261753494282113</v>
      </c>
      <c r="I600" s="10">
        <f t="shared" ca="1" si="9"/>
        <v>-62.261753494282111</v>
      </c>
      <c r="J600" s="10" t="str">
        <f t="shared" si="10"/>
        <v>Put Spread</v>
      </c>
      <c r="K600" s="10" t="str">
        <f t="shared" ca="1" si="11"/>
        <v>Success</v>
      </c>
    </row>
    <row r="601" spans="1:11" ht="16">
      <c r="A601" s="1" t="s">
        <v>620</v>
      </c>
      <c r="B601" s="8" t="s">
        <v>38</v>
      </c>
      <c r="C601" s="8">
        <v>410.58</v>
      </c>
      <c r="D601" s="8" t="s">
        <v>39</v>
      </c>
      <c r="E601" s="8">
        <v>446.46</v>
      </c>
      <c r="F601" s="8">
        <f ca="1">IFERROR(__xludf.DUMMYFUNCTION("INDEX(GOOGLEFINANCE(A601, ""open"", DATE(2025,2,3), DATE(2025,2,3)), 2, 2)"),422.51)</f>
        <v>422.51</v>
      </c>
      <c r="G601" s="8">
        <f ca="1">IFERROR(__xludf.DUMMYFUNCTION("INDEX(GOOGLEFINANCE(A601, ""close"", DATE(2025,2,7), DATE(2025,2,7)), 2, 2)"),446.44)</f>
        <v>446.44</v>
      </c>
      <c r="H601" s="9">
        <f t="shared" ca="1" si="8"/>
        <v>-5.6637712716858788</v>
      </c>
      <c r="I601" s="10">
        <f t="shared" ca="1" si="9"/>
        <v>-56.637712716858786</v>
      </c>
      <c r="J601" s="10" t="str">
        <f t="shared" si="10"/>
        <v>Call Spread</v>
      </c>
      <c r="K601" s="10" t="str">
        <f t="shared" ca="1" si="11"/>
        <v>Success</v>
      </c>
    </row>
    <row r="602" spans="1:11" ht="16">
      <c r="A602" s="1" t="s">
        <v>621</v>
      </c>
      <c r="B602" s="8" t="s">
        <v>14</v>
      </c>
      <c r="C602" s="8">
        <v>76.95</v>
      </c>
      <c r="D602" s="8" t="s">
        <v>15</v>
      </c>
      <c r="E602" s="8">
        <v>65.19</v>
      </c>
      <c r="F602" s="8">
        <f ca="1">IFERROR(__xludf.DUMMYFUNCTION("INDEX(GOOGLEFINANCE(A602, ""open"", DATE(2025,2,3), DATE(2025,2,3)), 2, 2)"),69.63)</f>
        <v>69.63</v>
      </c>
      <c r="G602" s="8">
        <f ca="1">IFERROR(__xludf.DUMMYFUNCTION("INDEX(GOOGLEFINANCE(A602, ""close"", DATE(2025,2,7), DATE(2025,2,7)), 2, 2)"),66.28)</f>
        <v>66.28</v>
      </c>
      <c r="H602" s="9">
        <f t="shared" ca="1" si="8"/>
        <v>-4.8111446215711542</v>
      </c>
      <c r="I602" s="10">
        <f t="shared" ca="1" si="9"/>
        <v>-48.111446215711538</v>
      </c>
      <c r="J602" s="10" t="str">
        <f t="shared" si="10"/>
        <v>Put Spread</v>
      </c>
      <c r="K602" s="10" t="str">
        <f t="shared" ca="1" si="11"/>
        <v>Success</v>
      </c>
    </row>
    <row r="603" spans="1:11" ht="16">
      <c r="A603" s="1" t="s">
        <v>622</v>
      </c>
      <c r="B603" s="8" t="s">
        <v>14</v>
      </c>
      <c r="C603" s="8">
        <v>279.43</v>
      </c>
      <c r="D603" s="8" t="s">
        <v>15</v>
      </c>
      <c r="E603" s="8">
        <v>253.77</v>
      </c>
      <c r="F603" s="8">
        <f ca="1">IFERROR(__xludf.DUMMYFUNCTION("INDEX(GOOGLEFINANCE(A603, ""open"", DATE(2025,2,3), DATE(2025,2,3)), 2, 2)"),257.66)</f>
        <v>257.66000000000003</v>
      </c>
      <c r="G603" s="8">
        <f ca="1">IFERROR(__xludf.DUMMYFUNCTION("INDEX(GOOGLEFINANCE(A603, ""close"", DATE(2025,2,7), DATE(2025,2,7)), 2, 2)"),264.43)</f>
        <v>264.43</v>
      </c>
      <c r="H603" s="9">
        <f t="shared" ca="1" si="8"/>
        <v>2.6274935962120551</v>
      </c>
      <c r="I603" s="10">
        <f t="shared" ca="1" si="9"/>
        <v>26.274935962120551</v>
      </c>
      <c r="J603" s="10" t="str">
        <f t="shared" si="10"/>
        <v>Put Spread</v>
      </c>
      <c r="K603" s="10" t="str">
        <f t="shared" ca="1" si="11"/>
        <v>Success</v>
      </c>
    </row>
    <row r="604" spans="1:11" ht="16">
      <c r="A604" s="1" t="s">
        <v>623</v>
      </c>
      <c r="B604" s="8" t="s">
        <v>14</v>
      </c>
      <c r="C604" s="8">
        <v>222.55</v>
      </c>
      <c r="D604" s="8" t="s">
        <v>15</v>
      </c>
      <c r="E604" s="8">
        <v>176.55</v>
      </c>
      <c r="F604" s="8">
        <f ca="1">IFERROR(__xludf.DUMMYFUNCTION("INDEX(GOOGLEFINANCE(A604, ""open"", DATE(2025,2,3), DATE(2025,2,3)), 2, 2)"),189.12)</f>
        <v>189.12</v>
      </c>
      <c r="G604" s="8">
        <f ca="1">IFERROR(__xludf.DUMMYFUNCTION("INDEX(GOOGLEFINANCE(A604, ""close"", DATE(2025,2,7), DATE(2025,2,7)), 2, 2)"),225.23)</f>
        <v>225.23</v>
      </c>
      <c r="H604" s="9">
        <f t="shared" ca="1" si="8"/>
        <v>19.093697123519451</v>
      </c>
      <c r="I604" s="10">
        <f t="shared" ca="1" si="9"/>
        <v>190.93697123519451</v>
      </c>
      <c r="J604" s="10" t="str">
        <f t="shared" si="10"/>
        <v>Put Spread</v>
      </c>
      <c r="K604" s="10" t="str">
        <f t="shared" ca="1" si="11"/>
        <v>Success</v>
      </c>
    </row>
    <row r="605" spans="1:11" ht="16">
      <c r="A605" s="1" t="s">
        <v>624</v>
      </c>
      <c r="B605" s="8" t="s">
        <v>14</v>
      </c>
      <c r="C605" s="8">
        <v>9</v>
      </c>
      <c r="D605" s="8" t="s">
        <v>15</v>
      </c>
      <c r="E605" s="8">
        <v>7</v>
      </c>
      <c r="F605" s="8">
        <f ca="1">IFERROR(__xludf.DUMMYFUNCTION("INDEX(GOOGLEFINANCE(A605, ""open"", DATE(2025,2,3), DATE(2025,2,3)), 2, 2)"),7.62)</f>
        <v>7.62</v>
      </c>
      <c r="G605" s="8">
        <f ca="1">IFERROR(__xludf.DUMMYFUNCTION("INDEX(GOOGLEFINANCE(A605, ""close"", DATE(2025,2,7), DATE(2025,2,7)), 2, 2)"),8.3)</f>
        <v>8.3000000000000007</v>
      </c>
      <c r="H605" s="9">
        <f t="shared" ca="1" si="8"/>
        <v>8.923884514435704</v>
      </c>
      <c r="I605" s="10">
        <f t="shared" ca="1" si="9"/>
        <v>89.238845144357043</v>
      </c>
      <c r="J605" s="10" t="str">
        <f t="shared" si="10"/>
        <v>Put Spread</v>
      </c>
      <c r="K605" s="10" t="str">
        <f t="shared" ca="1" si="11"/>
        <v>Success</v>
      </c>
    </row>
    <row r="606" spans="1:11" ht="16">
      <c r="A606" s="1" t="s">
        <v>625</v>
      </c>
      <c r="B606" s="8" t="s">
        <v>14</v>
      </c>
      <c r="C606" s="8">
        <v>22.95</v>
      </c>
      <c r="D606" s="8" t="s">
        <v>15</v>
      </c>
      <c r="E606" s="8">
        <v>21.81</v>
      </c>
      <c r="F606" s="8">
        <f ca="1">IFERROR(__xludf.DUMMYFUNCTION("INDEX(GOOGLEFINANCE(A606, ""open"", DATE(2025,2,3), DATE(2025,2,3)), 2, 2)"),0.05)</f>
        <v>0.05</v>
      </c>
      <c r="G606" s="8">
        <f ca="1">IFERROR(__xludf.DUMMYFUNCTION("INDEX(GOOGLEFINANCE(A606, ""close"", DATE(2025,2,7), DATE(2025,2,7)), 2, 2)"),0.05)</f>
        <v>0.05</v>
      </c>
      <c r="H606" s="9">
        <f t="shared" ca="1" si="8"/>
        <v>0</v>
      </c>
      <c r="I606" s="10">
        <f t="shared" ca="1" si="9"/>
        <v>0</v>
      </c>
      <c r="J606" s="10" t="str">
        <f t="shared" si="10"/>
        <v>Put Spread</v>
      </c>
      <c r="K606" s="10" t="str">
        <f t="shared" ca="1" si="11"/>
        <v>No</v>
      </c>
    </row>
    <row r="607" spans="1:11" ht="16">
      <c r="A607" s="1" t="s">
        <v>626</v>
      </c>
      <c r="B607" s="8" t="s">
        <v>14</v>
      </c>
      <c r="C607" s="8">
        <v>42.91</v>
      </c>
      <c r="D607" s="8" t="s">
        <v>15</v>
      </c>
      <c r="E607" s="8">
        <v>38.31</v>
      </c>
      <c r="F607" s="8">
        <f ca="1">IFERROR(__xludf.DUMMYFUNCTION("INDEX(GOOGLEFINANCE(A607, ""open"", DATE(2025,2,3), DATE(2025,2,3)), 2, 2)"),40.13)</f>
        <v>40.130000000000003</v>
      </c>
      <c r="G607" s="8">
        <f ca="1">IFERROR(__xludf.DUMMYFUNCTION("INDEX(GOOGLEFINANCE(A607, ""close"", DATE(2025,2,7), DATE(2025,2,7)), 2, 2)"),41.46)</f>
        <v>41.46</v>
      </c>
      <c r="H607" s="9">
        <f t="shared" ca="1" si="8"/>
        <v>3.3142287565412363</v>
      </c>
      <c r="I607" s="10">
        <f t="shared" ca="1" si="9"/>
        <v>33.14228756541236</v>
      </c>
      <c r="J607" s="10" t="str">
        <f t="shared" si="10"/>
        <v>Put Spread</v>
      </c>
      <c r="K607" s="10" t="str">
        <f t="shared" ca="1" si="11"/>
        <v>Success</v>
      </c>
    </row>
    <row r="608" spans="1:11" ht="16">
      <c r="A608" s="1" t="s">
        <v>627</v>
      </c>
      <c r="B608" s="8" t="s">
        <v>14</v>
      </c>
      <c r="C608" s="8">
        <v>444.57</v>
      </c>
      <c r="D608" s="8" t="s">
        <v>15</v>
      </c>
      <c r="E608" s="8">
        <v>393.65</v>
      </c>
      <c r="F608" s="8">
        <f ca="1">IFERROR(__xludf.DUMMYFUNCTION("INDEX(GOOGLEFINANCE(A608, ""open"", DATE(2025,2,3), DATE(2025,2,3)), 2, 2)"),404.51)</f>
        <v>404.51</v>
      </c>
      <c r="G608" s="8">
        <f ca="1">IFERROR(__xludf.DUMMYFUNCTION("INDEX(GOOGLEFINANCE(A608, ""close"", DATE(2025,2,7), DATE(2025,2,7)), 2, 2)"),397.1)</f>
        <v>397.1</v>
      </c>
      <c r="H608" s="9">
        <f t="shared" ca="1" si="8"/>
        <v>-1.8318459370596445</v>
      </c>
      <c r="I608" s="10">
        <f t="shared" ca="1" si="9"/>
        <v>-18.318459370596443</v>
      </c>
      <c r="J608" s="10" t="str">
        <f t="shared" si="10"/>
        <v>Put Spread</v>
      </c>
      <c r="K608" s="10" t="str">
        <f t="shared" ca="1" si="11"/>
        <v>Success</v>
      </c>
    </row>
    <row r="609" spans="1:11" ht="16">
      <c r="A609" s="1" t="s">
        <v>628</v>
      </c>
      <c r="B609" s="8" t="s">
        <v>14</v>
      </c>
      <c r="C609" s="8">
        <v>4.1500000000000004</v>
      </c>
      <c r="D609" s="8" t="s">
        <v>15</v>
      </c>
      <c r="E609" s="8">
        <v>3.69</v>
      </c>
      <c r="F609" s="8">
        <f ca="1">IFERROR(__xludf.DUMMYFUNCTION("INDEX(GOOGLEFINANCE(A609, ""open"", DATE(2025,2,3), DATE(2025,2,3)), 2, 2)"),3.87)</f>
        <v>3.87</v>
      </c>
      <c r="G609" s="8">
        <f ca="1">IFERROR(__xludf.DUMMYFUNCTION("INDEX(GOOGLEFINANCE(A609, ""close"", DATE(2025,2,7), DATE(2025,2,7)), 2, 2)"),3.58)</f>
        <v>3.58</v>
      </c>
      <c r="H609" s="9">
        <f t="shared" ca="1" si="8"/>
        <v>-7.4935400516795871</v>
      </c>
      <c r="I609" s="10">
        <f t="shared" ca="1" si="9"/>
        <v>-74.935400516795866</v>
      </c>
      <c r="J609" s="10" t="str">
        <f t="shared" si="10"/>
        <v>Put Spread</v>
      </c>
      <c r="K609" s="10" t="str">
        <f t="shared" ca="1" si="11"/>
        <v>No</v>
      </c>
    </row>
    <row r="610" spans="1:11" ht="16">
      <c r="A610" s="1" t="s">
        <v>629</v>
      </c>
      <c r="B610" s="8" t="s">
        <v>38</v>
      </c>
      <c r="C610" s="8">
        <v>3.96</v>
      </c>
      <c r="D610" s="8" t="s">
        <v>39</v>
      </c>
      <c r="E610" s="8">
        <v>5.25</v>
      </c>
      <c r="F610" s="8">
        <f ca="1">IFERROR(__xludf.DUMMYFUNCTION("INDEX(GOOGLEFINANCE(A610, ""open"", DATE(2025,2,3), DATE(2025,2,3)), 2, 2)"),4.53)</f>
        <v>4.53</v>
      </c>
      <c r="G610" s="8">
        <f ca="1">IFERROR(__xludf.DUMMYFUNCTION("INDEX(GOOGLEFINANCE(A610, ""close"", DATE(2025,2,7), DATE(2025,2,7)), 2, 2)"),4.51)</f>
        <v>4.51</v>
      </c>
      <c r="H610" s="9">
        <f t="shared" ca="1" si="8"/>
        <v>0.44150110375276952</v>
      </c>
      <c r="I610" s="10">
        <f t="shared" ca="1" si="9"/>
        <v>4.4150110375276945</v>
      </c>
      <c r="J610" s="10" t="str">
        <f t="shared" si="10"/>
        <v>Call Spread</v>
      </c>
      <c r="K610" s="10" t="str">
        <f t="shared" ca="1" si="11"/>
        <v>Success</v>
      </c>
    </row>
    <row r="611" spans="1:11" ht="16">
      <c r="A611" s="1" t="s">
        <v>630</v>
      </c>
      <c r="B611" s="8" t="s">
        <v>14</v>
      </c>
      <c r="C611" s="8">
        <v>62.9</v>
      </c>
      <c r="D611" s="8" t="s">
        <v>15</v>
      </c>
      <c r="E611" s="8">
        <v>57.92</v>
      </c>
      <c r="F611" s="8">
        <f ca="1">IFERROR(__xludf.DUMMYFUNCTION("INDEX(GOOGLEFINANCE(A611, ""open"", DATE(2025,2,3), DATE(2025,2,3)), 2, 2)"),59.39)</f>
        <v>59.39</v>
      </c>
      <c r="G611" s="8">
        <f ca="1">IFERROR(__xludf.DUMMYFUNCTION("INDEX(GOOGLEFINANCE(A611, ""close"", DATE(2025,2,7), DATE(2025,2,7)), 2, 2)"),61.95)</f>
        <v>61.95</v>
      </c>
      <c r="H611" s="9">
        <f t="shared" ca="1" si="8"/>
        <v>4.3104899814783675</v>
      </c>
      <c r="I611" s="10">
        <f t="shared" ca="1" si="9"/>
        <v>43.104899814783678</v>
      </c>
      <c r="J611" s="10" t="str">
        <f t="shared" si="10"/>
        <v>Put Spread</v>
      </c>
      <c r="K611" s="10" t="str">
        <f t="shared" ca="1" si="11"/>
        <v>Success</v>
      </c>
    </row>
    <row r="612" spans="1:11" ht="16">
      <c r="A612" s="1" t="s">
        <v>631</v>
      </c>
      <c r="B612" s="8" t="s">
        <v>14</v>
      </c>
      <c r="C612" s="8">
        <v>13.48</v>
      </c>
      <c r="D612" s="8" t="s">
        <v>15</v>
      </c>
      <c r="E612" s="8">
        <v>10.28</v>
      </c>
      <c r="F612" s="8">
        <f ca="1">IFERROR(__xludf.DUMMYFUNCTION("INDEX(GOOGLEFINANCE(A612, ""open"", DATE(2025,2,3), DATE(2025,2,3)), 2, 2)"),10.87)</f>
        <v>10.87</v>
      </c>
      <c r="G612" s="8">
        <f ca="1">IFERROR(__xludf.DUMMYFUNCTION("INDEX(GOOGLEFINANCE(A612, ""close"", DATE(2025,2,7), DATE(2025,2,7)), 2, 2)"),11.64)</f>
        <v>11.64</v>
      </c>
      <c r="H612" s="9">
        <f t="shared" ca="1" si="8"/>
        <v>7.08371665133396</v>
      </c>
      <c r="I612" s="10">
        <f t="shared" ca="1" si="9"/>
        <v>70.837166513339596</v>
      </c>
      <c r="J612" s="10" t="str">
        <f t="shared" si="10"/>
        <v>Put Spread</v>
      </c>
      <c r="K612" s="10" t="str">
        <f t="shared" ca="1" si="11"/>
        <v>Success</v>
      </c>
    </row>
    <row r="613" spans="1:11" ht="16">
      <c r="A613" s="1" t="s">
        <v>632</v>
      </c>
      <c r="B613" s="8" t="s">
        <v>14</v>
      </c>
      <c r="C613" s="8">
        <v>11.82</v>
      </c>
      <c r="D613" s="8" t="s">
        <v>15</v>
      </c>
      <c r="E613" s="8">
        <v>11.2</v>
      </c>
      <c r="F613" s="8">
        <f ca="1">IFERROR(__xludf.DUMMYFUNCTION("INDEX(GOOGLEFINANCE(A613, ""open"", DATE(2025,2,3), DATE(2025,2,3)), 2, 2)"),11.24)</f>
        <v>11.24</v>
      </c>
      <c r="G613" s="8">
        <f ca="1">IFERROR(__xludf.DUMMYFUNCTION("INDEX(GOOGLEFINANCE(A613, ""close"", DATE(2025,2,7), DATE(2025,2,7)), 2, 2)"),11.85)</f>
        <v>11.85</v>
      </c>
      <c r="H613" s="9">
        <f t="shared" ca="1" si="8"/>
        <v>5.4270462633451908</v>
      </c>
      <c r="I613" s="10">
        <f t="shared" ca="1" si="9"/>
        <v>54.270462633451906</v>
      </c>
      <c r="J613" s="10" t="str">
        <f t="shared" si="10"/>
        <v>Put Spread</v>
      </c>
      <c r="K613" s="10" t="str">
        <f t="shared" ca="1" si="11"/>
        <v>Success</v>
      </c>
    </row>
    <row r="614" spans="1:11" ht="16">
      <c r="A614" s="1" t="s">
        <v>633</v>
      </c>
      <c r="B614" s="8" t="s">
        <v>14</v>
      </c>
      <c r="C614" s="8">
        <v>13.89</v>
      </c>
      <c r="D614" s="8" t="s">
        <v>15</v>
      </c>
      <c r="E614" s="8">
        <v>11.23</v>
      </c>
      <c r="F614" s="8">
        <f ca="1">IFERROR(__xludf.DUMMYFUNCTION("INDEX(GOOGLEFINANCE(A614, ""open"", DATE(2025,2,3), DATE(2025,2,3)), 2, 2)"),12.02)</f>
        <v>12.02</v>
      </c>
      <c r="G614" s="8">
        <f ca="1">IFERROR(__xludf.DUMMYFUNCTION("INDEX(GOOGLEFINANCE(A614, ""close"", DATE(2025,2,7), DATE(2025,2,7)), 2, 2)"),12.48)</f>
        <v>12.48</v>
      </c>
      <c r="H614" s="9">
        <f t="shared" ca="1" si="8"/>
        <v>3.8269550748752148</v>
      </c>
      <c r="I614" s="10">
        <f t="shared" ca="1" si="9"/>
        <v>38.269550748752152</v>
      </c>
      <c r="J614" s="10" t="str">
        <f t="shared" si="10"/>
        <v>Put Spread</v>
      </c>
      <c r="K614" s="10" t="str">
        <f t="shared" ca="1" si="11"/>
        <v>Success</v>
      </c>
    </row>
    <row r="615" spans="1:11" ht="16">
      <c r="A615" s="1" t="s">
        <v>634</v>
      </c>
      <c r="B615" s="8" t="s">
        <v>14</v>
      </c>
      <c r="C615" s="8">
        <v>33.15</v>
      </c>
      <c r="D615" s="8" t="s">
        <v>15</v>
      </c>
      <c r="E615" s="8">
        <v>24.95</v>
      </c>
      <c r="F615" s="8">
        <f ca="1">IFERROR(__xludf.DUMMYFUNCTION("INDEX(GOOGLEFINANCE(A615, ""open"", DATE(2025,2,3), DATE(2025,2,3)), 2, 2)"),27.19)</f>
        <v>27.19</v>
      </c>
      <c r="G615" s="8">
        <f ca="1">IFERROR(__xludf.DUMMYFUNCTION("INDEX(GOOGLEFINANCE(A615, ""close"", DATE(2025,2,7), DATE(2025,2,7)), 2, 2)"),27.41)</f>
        <v>27.41</v>
      </c>
      <c r="H615" s="9">
        <f t="shared" ca="1" si="8"/>
        <v>0.80912100036777801</v>
      </c>
      <c r="I615" s="10">
        <f t="shared" ca="1" si="9"/>
        <v>8.0912100036777801</v>
      </c>
      <c r="J615" s="10" t="str">
        <f t="shared" si="10"/>
        <v>Put Spread</v>
      </c>
      <c r="K615" s="10" t="str">
        <f t="shared" ca="1" si="11"/>
        <v>Success</v>
      </c>
    </row>
    <row r="616" spans="1:11" ht="16">
      <c r="A616" s="1" t="s">
        <v>635</v>
      </c>
      <c r="B616" s="8" t="s">
        <v>14</v>
      </c>
      <c r="C616" s="8">
        <v>13.33</v>
      </c>
      <c r="D616" s="8" t="s">
        <v>15</v>
      </c>
      <c r="E616" s="8">
        <v>11.87</v>
      </c>
      <c r="F616" s="8">
        <f ca="1">IFERROR(__xludf.DUMMYFUNCTION("INDEX(GOOGLEFINANCE(A616, ""open"", DATE(2025,2,3), DATE(2025,2,3)), 2, 2)"),12.3)</f>
        <v>12.3</v>
      </c>
      <c r="G616" s="8">
        <f ca="1">IFERROR(__xludf.DUMMYFUNCTION("INDEX(GOOGLEFINANCE(A616, ""close"", DATE(2025,2,7), DATE(2025,2,7)), 2, 2)"),12.73)</f>
        <v>12.73</v>
      </c>
      <c r="H616" s="9">
        <f t="shared" ca="1" si="8"/>
        <v>3.4959349593495914</v>
      </c>
      <c r="I616" s="10">
        <f t="shared" ca="1" si="9"/>
        <v>34.959349593495915</v>
      </c>
      <c r="J616" s="10" t="str">
        <f t="shared" si="10"/>
        <v>Put Spread</v>
      </c>
      <c r="K616" s="10" t="str">
        <f t="shared" ca="1" si="11"/>
        <v>Success</v>
      </c>
    </row>
    <row r="617" spans="1:11" ht="16">
      <c r="A617" s="1" t="s">
        <v>636</v>
      </c>
      <c r="B617" s="8" t="s">
        <v>14</v>
      </c>
      <c r="C617" s="8">
        <v>60.34</v>
      </c>
      <c r="D617" s="8" t="s">
        <v>15</v>
      </c>
      <c r="E617" s="8">
        <v>57.9</v>
      </c>
      <c r="F617" s="8">
        <f ca="1">IFERROR(__xludf.DUMMYFUNCTION("INDEX(GOOGLEFINANCE(A617, ""open"", DATE(2025,2,3), DATE(2025,2,3)), 2, 2)"),57.89)</f>
        <v>57.89</v>
      </c>
      <c r="G617" s="8">
        <f ca="1">IFERROR(__xludf.DUMMYFUNCTION("INDEX(GOOGLEFINANCE(A617, ""close"", DATE(2025,2,7), DATE(2025,2,7)), 2, 2)"),59.06)</f>
        <v>59.06</v>
      </c>
      <c r="H617" s="9">
        <f t="shared" ca="1" si="8"/>
        <v>2.0210744515460384</v>
      </c>
      <c r="I617" s="10">
        <f t="shared" ca="1" si="9"/>
        <v>20.210744515460384</v>
      </c>
      <c r="J617" s="10" t="str">
        <f t="shared" si="10"/>
        <v>Put Spread</v>
      </c>
      <c r="K617" s="10" t="str">
        <f t="shared" ca="1" si="11"/>
        <v>Success</v>
      </c>
    </row>
    <row r="618" spans="1:11" ht="16">
      <c r="A618" s="1" t="s">
        <v>637</v>
      </c>
      <c r="B618" s="8" t="s">
        <v>14</v>
      </c>
      <c r="C618" s="8">
        <v>290.02999999999997</v>
      </c>
      <c r="D618" s="8" t="s">
        <v>15</v>
      </c>
      <c r="E618" s="8">
        <v>266.83</v>
      </c>
      <c r="F618" s="8">
        <f ca="1">IFERROR(__xludf.DUMMYFUNCTION("INDEX(GOOGLEFINANCE(A618, ""open"", DATE(2025,2,3), DATE(2025,2,3)), 2, 2)"),272.07)</f>
        <v>272.07</v>
      </c>
      <c r="G618" s="8">
        <f ca="1">IFERROR(__xludf.DUMMYFUNCTION("INDEX(GOOGLEFINANCE(A618, ""close"", DATE(2025,2,7), DATE(2025,2,7)), 2, 2)"),268.4)</f>
        <v>268.39999999999998</v>
      </c>
      <c r="H618" s="9">
        <f t="shared" ca="1" si="8"/>
        <v>-1.3489175579814079</v>
      </c>
      <c r="I618" s="10">
        <f t="shared" ca="1" si="9"/>
        <v>-13.489175579814081</v>
      </c>
      <c r="J618" s="10" t="str">
        <f t="shared" si="10"/>
        <v>Put Spread</v>
      </c>
      <c r="K618" s="10" t="str">
        <f t="shared" ca="1" si="11"/>
        <v>Success</v>
      </c>
    </row>
    <row r="619" spans="1:11" ht="16">
      <c r="A619" s="1" t="s">
        <v>638</v>
      </c>
      <c r="B619" s="8" t="s">
        <v>14</v>
      </c>
      <c r="C619" s="8">
        <v>90.41</v>
      </c>
      <c r="D619" s="8" t="s">
        <v>15</v>
      </c>
      <c r="E619" s="8">
        <v>75.11</v>
      </c>
      <c r="F619" s="8">
        <f ca="1">IFERROR(__xludf.DUMMYFUNCTION("INDEX(GOOGLEFINANCE(A619, ""open"", DATE(2025,2,3), DATE(2025,2,3)), 2, 2)"),80.33)</f>
        <v>80.33</v>
      </c>
      <c r="G619" s="8">
        <f ca="1">IFERROR(__xludf.DUMMYFUNCTION("INDEX(GOOGLEFINANCE(A619, ""close"", DATE(2025,2,7), DATE(2025,2,7)), 2, 2)"),85)</f>
        <v>85</v>
      </c>
      <c r="H619" s="9">
        <f t="shared" ca="1" si="8"/>
        <v>5.8135192331632046</v>
      </c>
      <c r="I619" s="10">
        <f t="shared" ca="1" si="9"/>
        <v>58.135192331632041</v>
      </c>
      <c r="J619" s="10" t="str">
        <f t="shared" si="10"/>
        <v>Put Spread</v>
      </c>
      <c r="K619" s="10" t="str">
        <f t="shared" ca="1" si="11"/>
        <v>Success</v>
      </c>
    </row>
    <row r="620" spans="1:11" ht="16">
      <c r="A620" s="1" t="s">
        <v>639</v>
      </c>
      <c r="B620" s="8" t="s">
        <v>14</v>
      </c>
      <c r="C620" s="8">
        <v>113.39</v>
      </c>
      <c r="D620" s="8" t="s">
        <v>15</v>
      </c>
      <c r="E620" s="8">
        <v>81.61</v>
      </c>
      <c r="F620" s="8">
        <f ca="1">IFERROR(__xludf.DUMMYFUNCTION("INDEX(GOOGLEFINANCE(A620, ""open"", DATE(2025,2,3), DATE(2025,2,3)), 2, 2)"),94)</f>
        <v>94</v>
      </c>
      <c r="G620" s="8">
        <f ca="1">IFERROR(__xludf.DUMMYFUNCTION("INDEX(GOOGLEFINANCE(A620, ""close"", DATE(2025,2,7), DATE(2025,2,7)), 2, 2)"),112.03)</f>
        <v>112.03</v>
      </c>
      <c r="H620" s="9">
        <f t="shared" ca="1" si="8"/>
        <v>19.180851063829788</v>
      </c>
      <c r="I620" s="10">
        <f t="shared" ca="1" si="9"/>
        <v>191.80851063829789</v>
      </c>
      <c r="J620" s="10" t="str">
        <f t="shared" si="10"/>
        <v>Put Spread</v>
      </c>
      <c r="K620" s="10" t="str">
        <f t="shared" ca="1" si="11"/>
        <v>Success</v>
      </c>
    </row>
    <row r="621" spans="1:11" ht="16">
      <c r="A621" s="1" t="s">
        <v>640</v>
      </c>
      <c r="B621" s="8" t="s">
        <v>38</v>
      </c>
      <c r="C621" s="8">
        <v>144.68</v>
      </c>
      <c r="D621" s="8" t="s">
        <v>39</v>
      </c>
      <c r="E621" s="8">
        <v>156.44</v>
      </c>
      <c r="F621" s="8">
        <f ca="1">IFERROR(__xludf.DUMMYFUNCTION("INDEX(GOOGLEFINANCE(A621, ""open"", DATE(2025,2,3), DATE(2025,2,3)), 2, 2)"),148.97)</f>
        <v>148.97</v>
      </c>
      <c r="G621" s="8">
        <f ca="1">IFERROR(__xludf.DUMMYFUNCTION("INDEX(GOOGLEFINANCE(A621, ""close"", DATE(2025,2,7), DATE(2025,2,7)), 2, 2)"),142.59)</f>
        <v>142.59</v>
      </c>
      <c r="H621" s="9">
        <f t="shared" ca="1" si="8"/>
        <v>4.2827414915754822</v>
      </c>
      <c r="I621" s="10">
        <f t="shared" ca="1" si="9"/>
        <v>42.827414915754822</v>
      </c>
      <c r="J621" s="10" t="str">
        <f t="shared" si="10"/>
        <v>Call Spread</v>
      </c>
      <c r="K621" s="10" t="str">
        <f t="shared" ca="1" si="11"/>
        <v>Success</v>
      </c>
    </row>
    <row r="622" spans="1:11" ht="16">
      <c r="A622" s="1" t="s">
        <v>641</v>
      </c>
      <c r="B622" s="8" t="s">
        <v>38</v>
      </c>
      <c r="C622" s="8">
        <v>177.23</v>
      </c>
      <c r="D622" s="8" t="s">
        <v>39</v>
      </c>
      <c r="E622" s="8">
        <v>185.25</v>
      </c>
      <c r="F622" s="8">
        <f ca="1">IFERROR(__xludf.DUMMYFUNCTION("INDEX(GOOGLEFINANCE(A622, ""open"", DATE(2025,2,3), DATE(2025,2,3)), 2, 2)"),178.92)</f>
        <v>178.92</v>
      </c>
      <c r="G622" s="8">
        <f ca="1">IFERROR(__xludf.DUMMYFUNCTION("INDEX(GOOGLEFINANCE(A622, ""close"", DATE(2025,2,7), DATE(2025,2,7)), 2, 2)"),180.22)</f>
        <v>180.22</v>
      </c>
      <c r="H622" s="9">
        <f t="shared" ca="1" si="8"/>
        <v>-0.72658171249721182</v>
      </c>
      <c r="I622" s="10">
        <f t="shared" ca="1" si="9"/>
        <v>-7.2658171249721182</v>
      </c>
      <c r="J622" s="10" t="str">
        <f t="shared" si="10"/>
        <v>Call Spread</v>
      </c>
      <c r="K622" s="10" t="str">
        <f t="shared" ca="1" si="11"/>
        <v>Success</v>
      </c>
    </row>
    <row r="623" spans="1:11" ht="16">
      <c r="A623" s="1" t="s">
        <v>642</v>
      </c>
      <c r="B623" s="8" t="s">
        <v>14</v>
      </c>
      <c r="C623" s="8">
        <v>132.63</v>
      </c>
      <c r="D623" s="8" t="s">
        <v>15</v>
      </c>
      <c r="E623" s="8">
        <v>125.27</v>
      </c>
      <c r="F623" s="8">
        <f ca="1">IFERROR(__xludf.DUMMYFUNCTION("INDEX(GOOGLEFINANCE(A623, ""open"", DATE(2025,2,3), DATE(2025,2,3)), 2, 2)"),128.5)</f>
        <v>128.5</v>
      </c>
      <c r="G623" s="8">
        <f ca="1">IFERROR(__xludf.DUMMYFUNCTION("INDEX(GOOGLEFINANCE(A623, ""close"", DATE(2025,2,7), DATE(2025,2,7)), 2, 2)"),127.95)</f>
        <v>127.95</v>
      </c>
      <c r="H623" s="9">
        <f t="shared" ca="1" si="8"/>
        <v>-0.42801556420233244</v>
      </c>
      <c r="I623" s="10">
        <f t="shared" ca="1" si="9"/>
        <v>-4.280155642023324</v>
      </c>
      <c r="J623" s="10" t="str">
        <f t="shared" si="10"/>
        <v>Put Spread</v>
      </c>
      <c r="K623" s="10" t="str">
        <f t="shared" ca="1" si="11"/>
        <v>Success</v>
      </c>
    </row>
    <row r="624" spans="1:11" ht="16">
      <c r="A624" s="1" t="s">
        <v>643</v>
      </c>
      <c r="B624" s="8" t="s">
        <v>14</v>
      </c>
      <c r="C624" s="8">
        <v>14.04</v>
      </c>
      <c r="D624" s="8" t="s">
        <v>15</v>
      </c>
      <c r="E624" s="8">
        <v>10.72</v>
      </c>
      <c r="F624" s="8">
        <f ca="1">IFERROR(__xludf.DUMMYFUNCTION("INDEX(GOOGLEFINANCE(A624, ""open"", DATE(2025,2,3), DATE(2025,2,3)), 2, 2)"),11.6)</f>
        <v>11.6</v>
      </c>
      <c r="G624" s="8">
        <f ca="1">IFERROR(__xludf.DUMMYFUNCTION("INDEX(GOOGLEFINANCE(A624, ""close"", DATE(2025,2,7), DATE(2025,2,7)), 2, 2)"),12.75)</f>
        <v>12.75</v>
      </c>
      <c r="H624" s="9">
        <f t="shared" ca="1" si="8"/>
        <v>9.9137931034482794</v>
      </c>
      <c r="I624" s="10">
        <f t="shared" ca="1" si="9"/>
        <v>99.13793103448279</v>
      </c>
      <c r="J624" s="10" t="str">
        <f t="shared" si="10"/>
        <v>Put Spread</v>
      </c>
      <c r="K624" s="10" t="str">
        <f t="shared" ca="1" si="11"/>
        <v>Success</v>
      </c>
    </row>
    <row r="625" spans="1:11" ht="16">
      <c r="A625" s="1" t="s">
        <v>644</v>
      </c>
      <c r="B625" s="8" t="s">
        <v>14</v>
      </c>
      <c r="C625" s="8">
        <v>10.23</v>
      </c>
      <c r="D625" s="8" t="s">
        <v>15</v>
      </c>
      <c r="E625" s="8">
        <v>7.87</v>
      </c>
      <c r="F625" s="8">
        <f ca="1">IFERROR(__xludf.DUMMYFUNCTION("INDEX(GOOGLEFINANCE(A625, ""open"", DATE(2025,2,3), DATE(2025,2,3)), 2, 2)"),8.57)</f>
        <v>8.57</v>
      </c>
      <c r="G625" s="8">
        <f ca="1">IFERROR(__xludf.DUMMYFUNCTION("INDEX(GOOGLEFINANCE(A625, ""close"", DATE(2025,2,7), DATE(2025,2,7)), 2, 2)"),8.47)</f>
        <v>8.4700000000000006</v>
      </c>
      <c r="H625" s="9">
        <f t="shared" ca="1" si="8"/>
        <v>-1.1668611435239165</v>
      </c>
      <c r="I625" s="10">
        <f t="shared" ca="1" si="9"/>
        <v>-11.668611435239166</v>
      </c>
      <c r="J625" s="10" t="str">
        <f t="shared" si="10"/>
        <v>Put Spread</v>
      </c>
      <c r="K625" s="10" t="str">
        <f t="shared" ca="1" si="11"/>
        <v>Success</v>
      </c>
    </row>
    <row r="626" spans="1:11" ht="16">
      <c r="A626" s="1" t="s">
        <v>645</v>
      </c>
      <c r="B626" s="8" t="s">
        <v>38</v>
      </c>
      <c r="C626" s="8">
        <v>2227.9299999999998</v>
      </c>
      <c r="D626" s="8" t="s">
        <v>39</v>
      </c>
      <c r="E626" s="8">
        <v>2347.46</v>
      </c>
      <c r="F626" s="8">
        <f ca="1">IFERROR(__xludf.DUMMYFUNCTION("INDEX(GOOGLEFINANCE(A626, ""open"", DATE(2025,2,3), DATE(2025,2,3)), 2, 2)"),2244.82)</f>
        <v>2244.8200000000002</v>
      </c>
      <c r="G626" s="8">
        <f ca="1">IFERROR(__xludf.DUMMYFUNCTION("INDEX(GOOGLEFINANCE(A626, ""close"", DATE(2025,2,7), DATE(2025,2,7)), 2, 2)"),2279.71)</f>
        <v>2279.71</v>
      </c>
      <c r="H626" s="9">
        <f t="shared" ca="1" si="8"/>
        <v>-1.5542448837768672</v>
      </c>
      <c r="I626" s="10">
        <f t="shared" ca="1" si="9"/>
        <v>-15.542448837768672</v>
      </c>
      <c r="J626" s="10" t="str">
        <f t="shared" si="10"/>
        <v>Call Spread</v>
      </c>
      <c r="K626" s="10" t="str">
        <f t="shared" ca="1" si="11"/>
        <v>Success</v>
      </c>
    </row>
    <row r="627" spans="1:11" ht="16">
      <c r="A627" s="1" t="s">
        <v>646</v>
      </c>
      <c r="B627" s="8" t="s">
        <v>14</v>
      </c>
      <c r="C627" s="8">
        <v>9.19</v>
      </c>
      <c r="D627" s="8" t="s">
        <v>15</v>
      </c>
      <c r="E627" s="8">
        <v>5.29</v>
      </c>
      <c r="F627" s="8">
        <f ca="1">IFERROR(__xludf.DUMMYFUNCTION("INDEX(GOOGLEFINANCE(A627, ""open"", DATE(2025,2,3), DATE(2025,2,3)), 2, 2)"),6.94)</f>
        <v>6.94</v>
      </c>
      <c r="G627" s="8">
        <f ca="1">IFERROR(__xludf.DUMMYFUNCTION("INDEX(GOOGLEFINANCE(A627, ""close"", DATE(2025,2,7), DATE(2025,2,7)), 2, 2)"),7.49)</f>
        <v>7.49</v>
      </c>
      <c r="H627" s="9">
        <f t="shared" ca="1" si="8"/>
        <v>7.9250720461095074</v>
      </c>
      <c r="I627" s="10">
        <f t="shared" ca="1" si="9"/>
        <v>79.250720461095071</v>
      </c>
      <c r="J627" s="10" t="str">
        <f t="shared" si="10"/>
        <v>Put Spread</v>
      </c>
      <c r="K627" s="10" t="str">
        <f t="shared" ca="1" si="11"/>
        <v>Success</v>
      </c>
    </row>
    <row r="628" spans="1:11" ht="16">
      <c r="A628" s="1" t="s">
        <v>647</v>
      </c>
      <c r="B628" s="8" t="s">
        <v>14</v>
      </c>
      <c r="C628" s="8">
        <v>25.02</v>
      </c>
      <c r="D628" s="8" t="s">
        <v>15</v>
      </c>
      <c r="E628" s="8">
        <v>22.88</v>
      </c>
      <c r="F628" s="8">
        <f ca="1">IFERROR(__xludf.DUMMYFUNCTION("INDEX(GOOGLEFINANCE(A628, ""open"", DATE(2025,2,3), DATE(2025,2,3)), 2, 2)"),23.29)</f>
        <v>23.29</v>
      </c>
      <c r="G628" s="8">
        <f ca="1">IFERROR(__xludf.DUMMYFUNCTION("INDEX(GOOGLEFINANCE(A628, ""close"", DATE(2025,2,7), DATE(2025,2,7)), 2, 2)"),23.94)</f>
        <v>23.94</v>
      </c>
      <c r="H628" s="9">
        <f t="shared" ca="1" si="8"/>
        <v>2.7908973808501596</v>
      </c>
      <c r="I628" s="10">
        <f t="shared" ca="1" si="9"/>
        <v>27.908973808501596</v>
      </c>
      <c r="J628" s="10" t="str">
        <f t="shared" si="10"/>
        <v>Put Spread</v>
      </c>
      <c r="K628" s="10" t="str">
        <f t="shared" ca="1" si="11"/>
        <v>Success</v>
      </c>
    </row>
    <row r="629" spans="1:11" ht="16">
      <c r="A629" s="1" t="s">
        <v>648</v>
      </c>
      <c r="B629" s="8" t="s">
        <v>38</v>
      </c>
      <c r="C629" s="8">
        <v>236.26</v>
      </c>
      <c r="D629" s="8" t="s">
        <v>39</v>
      </c>
      <c r="E629" s="8">
        <v>265.08</v>
      </c>
      <c r="F629" s="8">
        <f ca="1">IFERROR(__xludf.DUMMYFUNCTION("INDEX(GOOGLEFINANCE(A629, ""open"", DATE(2025,2,3), DATE(2025,2,3)), 2, 2)"),247.05)</f>
        <v>247.05</v>
      </c>
      <c r="G629" s="8">
        <f ca="1">IFERROR(__xludf.DUMMYFUNCTION("INDEX(GOOGLEFINANCE(A629, ""close"", DATE(2025,2,7), DATE(2025,2,7)), 2, 2)"),239.35)</f>
        <v>239.35</v>
      </c>
      <c r="H629" s="9">
        <f t="shared" ca="1" si="8"/>
        <v>3.1167779801659652</v>
      </c>
      <c r="I629" s="10">
        <f t="shared" ca="1" si="9"/>
        <v>31.167779801659652</v>
      </c>
      <c r="J629" s="10" t="str">
        <f t="shared" si="10"/>
        <v>Call Spread</v>
      </c>
      <c r="K629" s="10" t="str">
        <f t="shared" ca="1" si="11"/>
        <v>Success</v>
      </c>
    </row>
    <row r="630" spans="1:11" ht="16">
      <c r="A630" s="1" t="s">
        <v>649</v>
      </c>
      <c r="B630" s="8" t="s">
        <v>14</v>
      </c>
      <c r="C630" s="8">
        <v>86.84</v>
      </c>
      <c r="D630" s="8" t="s">
        <v>15</v>
      </c>
      <c r="E630" s="8">
        <v>80.62</v>
      </c>
      <c r="F630" s="8">
        <f ca="1">IFERROR(__xludf.DUMMYFUNCTION("INDEX(GOOGLEFINANCE(A630, ""open"", DATE(2025,2,3), DATE(2025,2,3)), 2, 2)"),81.01)</f>
        <v>81.010000000000005</v>
      </c>
      <c r="G630" s="8">
        <f ca="1">IFERROR(__xludf.DUMMYFUNCTION("INDEX(GOOGLEFINANCE(A630, ""close"", DATE(2025,2,7), DATE(2025,2,7)), 2, 2)"),86.33)</f>
        <v>86.33</v>
      </c>
      <c r="H630" s="9">
        <f t="shared" ca="1" si="8"/>
        <v>6.5670904826564529</v>
      </c>
      <c r="I630" s="10">
        <f t="shared" ca="1" si="9"/>
        <v>65.670904826564524</v>
      </c>
      <c r="J630" s="10" t="str">
        <f t="shared" si="10"/>
        <v>Put Spread</v>
      </c>
      <c r="K630" s="10" t="str">
        <f t="shared" ca="1" si="11"/>
        <v>Success</v>
      </c>
    </row>
    <row r="631" spans="1:11" ht="16">
      <c r="A631" s="1" t="s">
        <v>650</v>
      </c>
      <c r="B631" s="8" t="s">
        <v>38</v>
      </c>
      <c r="C631" s="8">
        <v>30.08</v>
      </c>
      <c r="D631" s="8" t="s">
        <v>39</v>
      </c>
      <c r="E631" s="8">
        <v>36.76</v>
      </c>
      <c r="F631" s="8">
        <f ca="1">IFERROR(__xludf.DUMMYFUNCTION("INDEX(GOOGLEFINANCE(A631, ""open"", DATE(2025,2,3), DATE(2025,2,3)), 2, 2)"),36.1)</f>
        <v>36.1</v>
      </c>
      <c r="G631" s="8">
        <f ca="1">IFERROR(__xludf.DUMMYFUNCTION("INDEX(GOOGLEFINANCE(A631, ""close"", DATE(2025,2,7), DATE(2025,2,7)), 2, 2)"),33.51)</f>
        <v>33.51</v>
      </c>
      <c r="H631" s="9">
        <f t="shared" ca="1" si="8"/>
        <v>7.1745152354570729</v>
      </c>
      <c r="I631" s="10">
        <f t="shared" ca="1" si="9"/>
        <v>71.745152354570735</v>
      </c>
      <c r="J631" s="10" t="str">
        <f t="shared" si="10"/>
        <v>Call Spread</v>
      </c>
      <c r="K631" s="10" t="str">
        <f t="shared" ca="1" si="11"/>
        <v>Success</v>
      </c>
    </row>
    <row r="632" spans="1:11" ht="16">
      <c r="A632" s="1" t="s">
        <v>651</v>
      </c>
      <c r="B632" s="8" t="s">
        <v>14</v>
      </c>
      <c r="C632" s="8">
        <v>4.13</v>
      </c>
      <c r="D632" s="8" t="s">
        <v>15</v>
      </c>
      <c r="E632" s="8">
        <v>3.49</v>
      </c>
      <c r="F632" s="8">
        <f ca="1">IFERROR(__xludf.DUMMYFUNCTION("INDEX(GOOGLEFINANCE(A632, ""open"", DATE(2025,2,3), DATE(2025,2,3)), 2, 2)"),3.81)</f>
        <v>3.81</v>
      </c>
      <c r="G632" s="8">
        <f ca="1">IFERROR(__xludf.DUMMYFUNCTION("INDEX(GOOGLEFINANCE(A632, ""close"", DATE(2025,2,7), DATE(2025,2,7)), 2, 2)"),3.91)</f>
        <v>3.91</v>
      </c>
      <c r="H632" s="9">
        <f t="shared" ca="1" si="8"/>
        <v>2.624671916010501</v>
      </c>
      <c r="I632" s="10">
        <f t="shared" ca="1" si="9"/>
        <v>26.246719160105009</v>
      </c>
      <c r="J632" s="10" t="str">
        <f t="shared" si="10"/>
        <v>Put Spread</v>
      </c>
      <c r="K632" s="10" t="str">
        <f t="shared" ca="1" si="11"/>
        <v>Success</v>
      </c>
    </row>
    <row r="633" spans="1:11" ht="16">
      <c r="A633" s="1" t="s">
        <v>652</v>
      </c>
      <c r="B633" s="8" t="s">
        <v>14</v>
      </c>
      <c r="C633" s="8">
        <v>111.07</v>
      </c>
      <c r="D633" s="8" t="s">
        <v>15</v>
      </c>
      <c r="E633" s="8">
        <v>104.29</v>
      </c>
      <c r="F633" s="8">
        <f ca="1">IFERROR(__xludf.DUMMYFUNCTION("INDEX(GOOGLEFINANCE(A633, ""open"", DATE(2025,2,3), DATE(2025,2,3)), 2, 2)"),105.72)</f>
        <v>105.72</v>
      </c>
      <c r="G633" s="8">
        <f ca="1">IFERROR(__xludf.DUMMYFUNCTION("INDEX(GOOGLEFINANCE(A633, ""close"", DATE(2025,2,7), DATE(2025,2,7)), 2, 2)"),112.2)</f>
        <v>112.2</v>
      </c>
      <c r="H633" s="9">
        <f t="shared" ca="1" si="8"/>
        <v>6.1293984108967123</v>
      </c>
      <c r="I633" s="10">
        <f t="shared" ca="1" si="9"/>
        <v>61.293984108967123</v>
      </c>
      <c r="J633" s="10" t="str">
        <f t="shared" si="10"/>
        <v>Put Spread</v>
      </c>
      <c r="K633" s="10" t="str">
        <f t="shared" ca="1" si="11"/>
        <v>Success</v>
      </c>
    </row>
    <row r="634" spans="1:11" ht="16">
      <c r="A634" s="1" t="s">
        <v>653</v>
      </c>
      <c r="B634" s="8" t="s">
        <v>14</v>
      </c>
      <c r="C634" s="8">
        <v>95.92</v>
      </c>
      <c r="D634" s="8" t="s">
        <v>15</v>
      </c>
      <c r="E634" s="8">
        <v>87.32</v>
      </c>
      <c r="F634" s="8">
        <f ca="1">IFERROR(__xludf.DUMMYFUNCTION("INDEX(GOOGLEFINANCE(A634, ""open"", DATE(2025,2,3), DATE(2025,2,3)), 2, 2)"),90)</f>
        <v>90</v>
      </c>
      <c r="G634" s="8">
        <f ca="1">IFERROR(__xludf.DUMMYFUNCTION("INDEX(GOOGLEFINANCE(A634, ""close"", DATE(2025,2,7), DATE(2025,2,7)), 2, 2)"),96.72)</f>
        <v>96.72</v>
      </c>
      <c r="H634" s="9">
        <f t="shared" ca="1" si="8"/>
        <v>7.4666666666666659</v>
      </c>
      <c r="I634" s="10">
        <f t="shared" ca="1" si="9"/>
        <v>74.666666666666657</v>
      </c>
      <c r="J634" s="10" t="str">
        <f t="shared" si="10"/>
        <v>Put Spread</v>
      </c>
      <c r="K634" s="10" t="str">
        <f t="shared" ca="1" si="11"/>
        <v>Success</v>
      </c>
    </row>
    <row r="635" spans="1:11" ht="16">
      <c r="A635" s="1" t="s">
        <v>654</v>
      </c>
      <c r="B635" s="8" t="s">
        <v>14</v>
      </c>
      <c r="C635" s="8">
        <v>28.35</v>
      </c>
      <c r="D635" s="8" t="s">
        <v>15</v>
      </c>
      <c r="E635" s="8">
        <v>27.31</v>
      </c>
      <c r="F635" s="8">
        <f ca="1">IFERROR(__xludf.DUMMYFUNCTION("INDEX(GOOGLEFINANCE(A635, ""open"", DATE(2025,2,3), DATE(2025,2,3)), 2, 2)"),27.54)</f>
        <v>27.54</v>
      </c>
      <c r="G635" s="8">
        <f ca="1">IFERROR(__xludf.DUMMYFUNCTION("INDEX(GOOGLEFINANCE(A635, ""close"", DATE(2025,2,7), DATE(2025,2,7)), 2, 2)"),27.56)</f>
        <v>27.56</v>
      </c>
      <c r="H635" s="9">
        <f t="shared" ca="1" si="8"/>
        <v>7.2621641249090679E-2</v>
      </c>
      <c r="I635" s="10">
        <f t="shared" ca="1" si="9"/>
        <v>0.72621641249090685</v>
      </c>
      <c r="J635" s="10" t="str">
        <f t="shared" si="10"/>
        <v>Put Spread</v>
      </c>
      <c r="K635" s="10" t="str">
        <f t="shared" ca="1" si="11"/>
        <v>Success</v>
      </c>
    </row>
    <row r="636" spans="1:11" ht="16">
      <c r="A636" s="1" t="s">
        <v>655</v>
      </c>
      <c r="B636" s="8" t="s">
        <v>14</v>
      </c>
      <c r="C636" s="8">
        <v>85.36</v>
      </c>
      <c r="D636" s="8" t="s">
        <v>15</v>
      </c>
      <c r="E636" s="8">
        <v>80.08</v>
      </c>
      <c r="F636" s="8">
        <f ca="1">IFERROR(__xludf.DUMMYFUNCTION("INDEX(GOOGLEFINANCE(A636, ""open"", DATE(2025,2,3), DATE(2025,2,3)), 2, 2)"),81.29)</f>
        <v>81.290000000000006</v>
      </c>
      <c r="G636" s="8">
        <f ca="1">IFERROR(__xludf.DUMMYFUNCTION("INDEX(GOOGLEFINANCE(A636, ""close"", DATE(2025,2,7), DATE(2025,2,7)), 2, 2)"),83.18)</f>
        <v>83.18</v>
      </c>
      <c r="H636" s="9">
        <f t="shared" ca="1" si="8"/>
        <v>2.3250092262270887</v>
      </c>
      <c r="I636" s="10">
        <f t="shared" ca="1" si="9"/>
        <v>23.250092262270886</v>
      </c>
      <c r="J636" s="10" t="str">
        <f t="shared" si="10"/>
        <v>Put Spread</v>
      </c>
      <c r="K636" s="10" t="str">
        <f t="shared" ca="1" si="11"/>
        <v>Success</v>
      </c>
    </row>
    <row r="637" spans="1:11" ht="16">
      <c r="A637" s="1" t="s">
        <v>656</v>
      </c>
      <c r="B637" s="8" t="s">
        <v>14</v>
      </c>
      <c r="C637" s="8">
        <v>17.57</v>
      </c>
      <c r="D637" s="8" t="s">
        <v>15</v>
      </c>
      <c r="E637" s="8">
        <v>15.29</v>
      </c>
      <c r="F637" s="8">
        <f ca="1">IFERROR(__xludf.DUMMYFUNCTION("INDEX(GOOGLEFINANCE(A637, ""open"", DATE(2025,2,3), DATE(2025,2,3)), 2, 2)"),16.42)</f>
        <v>16.420000000000002</v>
      </c>
      <c r="G637" s="8">
        <f ca="1">IFERROR(__xludf.DUMMYFUNCTION("INDEX(GOOGLEFINANCE(A637, ""close"", DATE(2025,2,7), DATE(2025,2,7)), 2, 2)"),16.92)</f>
        <v>16.920000000000002</v>
      </c>
      <c r="H637" s="9">
        <f t="shared" ca="1" si="8"/>
        <v>3.0450669914738122</v>
      </c>
      <c r="I637" s="10">
        <f t="shared" ca="1" si="9"/>
        <v>30.450669914738125</v>
      </c>
      <c r="J637" s="10" t="str">
        <f t="shared" si="10"/>
        <v>Put Spread</v>
      </c>
      <c r="K637" s="10" t="str">
        <f t="shared" ca="1" si="11"/>
        <v>Success</v>
      </c>
    </row>
    <row r="638" spans="1:11" ht="16">
      <c r="A638" s="1" t="s">
        <v>657</v>
      </c>
      <c r="B638" s="8" t="s">
        <v>14</v>
      </c>
      <c r="C638" s="8">
        <v>63.83</v>
      </c>
      <c r="D638" s="8" t="s">
        <v>15</v>
      </c>
      <c r="E638" s="8">
        <v>61.29</v>
      </c>
      <c r="F638" s="8">
        <f ca="1">IFERROR(__xludf.DUMMYFUNCTION("INDEX(GOOGLEFINANCE(A638, ""open"", DATE(2025,2,3), DATE(2025,2,3)), 2, 2)"),61.71)</f>
        <v>61.71</v>
      </c>
      <c r="G638" s="8">
        <f ca="1">IFERROR(__xludf.DUMMYFUNCTION("INDEX(GOOGLEFINANCE(A638, ""close"", DATE(2025,2,7), DATE(2025,2,7)), 2, 2)"),62.9)</f>
        <v>62.9</v>
      </c>
      <c r="H638" s="9">
        <f t="shared" ca="1" si="8"/>
        <v>1.9283746556473791</v>
      </c>
      <c r="I638" s="10">
        <f t="shared" ca="1" si="9"/>
        <v>19.28374655647379</v>
      </c>
      <c r="J638" s="10" t="str">
        <f t="shared" si="10"/>
        <v>Put Spread</v>
      </c>
      <c r="K638" s="10" t="str">
        <f t="shared" ca="1" si="11"/>
        <v>Success</v>
      </c>
    </row>
    <row r="639" spans="1:11" ht="16">
      <c r="A639" s="1" t="s">
        <v>658</v>
      </c>
      <c r="B639" s="8" t="s">
        <v>14</v>
      </c>
      <c r="C639" s="8">
        <v>46.89</v>
      </c>
      <c r="D639" s="8" t="s">
        <v>15</v>
      </c>
      <c r="E639" s="8">
        <v>41.97</v>
      </c>
      <c r="F639" s="8">
        <f ca="1">IFERROR(__xludf.DUMMYFUNCTION("INDEX(GOOGLEFINANCE(A639, ""open"", DATE(2025,2,3), DATE(2025,2,3)), 2, 2)"),46.08)</f>
        <v>46.08</v>
      </c>
      <c r="G639" s="8">
        <f ca="1">IFERROR(__xludf.DUMMYFUNCTION("INDEX(GOOGLEFINANCE(A639, ""close"", DATE(2025,2,7), DATE(2025,2,7)), 2, 2)"),45.19)</f>
        <v>45.19</v>
      </c>
      <c r="H639" s="9">
        <f t="shared" ca="1" si="8"/>
        <v>-1.9314236111111125</v>
      </c>
      <c r="I639" s="10">
        <f t="shared" ca="1" si="9"/>
        <v>-19.314236111111125</v>
      </c>
      <c r="J639" s="10" t="str">
        <f t="shared" si="10"/>
        <v>Put Spread</v>
      </c>
      <c r="K639" s="10" t="str">
        <f t="shared" ca="1" si="11"/>
        <v>Success</v>
      </c>
    </row>
    <row r="640" spans="1:11" ht="16">
      <c r="A640" s="1" t="s">
        <v>659</v>
      </c>
      <c r="B640" s="8" t="s">
        <v>14</v>
      </c>
      <c r="C640" s="8">
        <v>19.559999999999999</v>
      </c>
      <c r="D640" s="8" t="s">
        <v>15</v>
      </c>
      <c r="E640" s="8">
        <v>17.98</v>
      </c>
      <c r="F640" s="8">
        <f ca="1">IFERROR(__xludf.DUMMYFUNCTION("INDEX(GOOGLEFINANCE(A640, ""open"", DATE(2025,2,3), DATE(2025,2,3)), 2, 2)"),19.34)</f>
        <v>19.34</v>
      </c>
      <c r="G640" s="8">
        <f ca="1">IFERROR(__xludf.DUMMYFUNCTION("INDEX(GOOGLEFINANCE(A640, ""close"", DATE(2025,2,7), DATE(2025,2,7)), 2, 2)"),18.85)</f>
        <v>18.850000000000001</v>
      </c>
      <c r="H640" s="9">
        <f t="shared" ca="1" si="8"/>
        <v>-2.5336091003102297</v>
      </c>
      <c r="I640" s="10">
        <f t="shared" ca="1" si="9"/>
        <v>-25.336091003102297</v>
      </c>
      <c r="J640" s="10" t="str">
        <f t="shared" si="10"/>
        <v>Put Spread</v>
      </c>
      <c r="K640" s="10" t="str">
        <f t="shared" ca="1" si="11"/>
        <v>Success</v>
      </c>
    </row>
    <row r="641" spans="1:11" ht="16">
      <c r="A641" s="1" t="s">
        <v>660</v>
      </c>
      <c r="B641" s="8" t="s">
        <v>14</v>
      </c>
      <c r="C641" s="8">
        <v>132.03</v>
      </c>
      <c r="D641" s="8" t="s">
        <v>15</v>
      </c>
      <c r="E641" s="8">
        <v>111.55</v>
      </c>
      <c r="F641" s="8">
        <f ca="1">IFERROR(__xludf.DUMMYFUNCTION("INDEX(GOOGLEFINANCE(A641, ""open"", DATE(2025,2,3), DATE(2025,2,3)), 2, 2)"),119)</f>
        <v>119</v>
      </c>
      <c r="G641" s="8">
        <f ca="1">IFERROR(__xludf.DUMMYFUNCTION("INDEX(GOOGLEFINANCE(A641, ""close"", DATE(2025,2,7), DATE(2025,2,7)), 2, 2)"),123)</f>
        <v>123</v>
      </c>
      <c r="H641" s="9">
        <f t="shared" ca="1" si="8"/>
        <v>3.3613445378151261</v>
      </c>
      <c r="I641" s="10">
        <f t="shared" ca="1" si="9"/>
        <v>33.613445378151262</v>
      </c>
      <c r="J641" s="10" t="str">
        <f t="shared" si="10"/>
        <v>Put Spread</v>
      </c>
      <c r="K641" s="10" t="str">
        <f t="shared" ca="1" si="11"/>
        <v>Success</v>
      </c>
    </row>
    <row r="642" spans="1:11" ht="16">
      <c r="A642" s="1" t="s">
        <v>661</v>
      </c>
      <c r="B642" s="8" t="s">
        <v>14</v>
      </c>
      <c r="C642" s="8">
        <v>15.23</v>
      </c>
      <c r="D642" s="8" t="s">
        <v>15</v>
      </c>
      <c r="E642" s="8">
        <v>10.97</v>
      </c>
      <c r="F642" s="8">
        <f ca="1">IFERROR(__xludf.DUMMYFUNCTION("INDEX(GOOGLEFINANCE(A642, ""open"", DATE(2025,2,3), DATE(2025,2,3)), 2, 2)"),12.5)</f>
        <v>12.5</v>
      </c>
      <c r="G642" s="8">
        <f ca="1">IFERROR(__xludf.DUMMYFUNCTION("INDEX(GOOGLEFINANCE(A642, ""close"", DATE(2025,2,7), DATE(2025,2,7)), 2, 2)"),14.29)</f>
        <v>14.29</v>
      </c>
      <c r="H642" s="9">
        <f t="shared" ca="1" si="8"/>
        <v>14.319999999999993</v>
      </c>
      <c r="I642" s="10">
        <f t="shared" ca="1" si="9"/>
        <v>143.19999999999993</v>
      </c>
      <c r="J642" s="10" t="str">
        <f t="shared" si="10"/>
        <v>Put Spread</v>
      </c>
      <c r="K642" s="10" t="str">
        <f t="shared" ca="1" si="11"/>
        <v>Success</v>
      </c>
    </row>
    <row r="643" spans="1:11" ht="16">
      <c r="A643" s="1" t="s">
        <v>662</v>
      </c>
      <c r="B643" s="8" t="s">
        <v>14</v>
      </c>
      <c r="C643" s="8">
        <v>11.72</v>
      </c>
      <c r="D643" s="8" t="s">
        <v>15</v>
      </c>
      <c r="E643" s="8">
        <v>9.7799999999999994</v>
      </c>
      <c r="F643" s="8">
        <f ca="1">IFERROR(__xludf.DUMMYFUNCTION("INDEX(GOOGLEFINANCE(A643, ""open"", DATE(2025,2,3), DATE(2025,2,3)), 2, 2)"),10.45)</f>
        <v>10.45</v>
      </c>
      <c r="G643" s="8">
        <f ca="1">IFERROR(__xludf.DUMMYFUNCTION("INDEX(GOOGLEFINANCE(A643, ""close"", DATE(2025,2,7), DATE(2025,2,7)), 2, 2)"),11.21)</f>
        <v>11.21</v>
      </c>
      <c r="H643" s="9">
        <f t="shared" ca="1" si="8"/>
        <v>7.2727272727272876</v>
      </c>
      <c r="I643" s="10">
        <f t="shared" ca="1" si="9"/>
        <v>72.727272727272876</v>
      </c>
      <c r="J643" s="10" t="str">
        <f t="shared" si="10"/>
        <v>Put Spread</v>
      </c>
      <c r="K643" s="10" t="str">
        <f t="shared" ca="1" si="11"/>
        <v>Success</v>
      </c>
    </row>
    <row r="644" spans="1:11" ht="16">
      <c r="A644" s="1" t="s">
        <v>663</v>
      </c>
      <c r="B644" s="8" t="s">
        <v>14</v>
      </c>
      <c r="C644" s="8">
        <v>42.3</v>
      </c>
      <c r="D644" s="8" t="s">
        <v>15</v>
      </c>
      <c r="E644" s="8">
        <v>40.68</v>
      </c>
      <c r="F644" s="8">
        <f ca="1">IFERROR(__xludf.DUMMYFUNCTION("INDEX(GOOGLEFINANCE(A644, ""open"", DATE(2025,2,3), DATE(2025,2,3)), 2, 2)"),42.13)</f>
        <v>42.13</v>
      </c>
      <c r="G644" s="8">
        <f ca="1">IFERROR(__xludf.DUMMYFUNCTION("INDEX(GOOGLEFINANCE(A644, ""close"", DATE(2025,2,7), DATE(2025,2,7)), 2, 2)"),41.62)</f>
        <v>41.62</v>
      </c>
      <c r="H644" s="9">
        <f t="shared" ca="1" si="8"/>
        <v>-1.2105388084500477</v>
      </c>
      <c r="I644" s="10">
        <f t="shared" ca="1" si="9"/>
        <v>-12.105388084500477</v>
      </c>
      <c r="J644" s="10" t="str">
        <f t="shared" si="10"/>
        <v>Put Spread</v>
      </c>
      <c r="K644" s="10" t="str">
        <f t="shared" ca="1" si="11"/>
        <v>Success</v>
      </c>
    </row>
    <row r="645" spans="1:11" ht="16">
      <c r="A645" s="1" t="s">
        <v>664</v>
      </c>
      <c r="B645" s="8" t="s">
        <v>14</v>
      </c>
      <c r="C645" s="8">
        <v>125.98</v>
      </c>
      <c r="D645" s="8" t="s">
        <v>15</v>
      </c>
      <c r="E645" s="8">
        <v>110.28</v>
      </c>
      <c r="F645" s="8">
        <f ca="1">IFERROR(__xludf.DUMMYFUNCTION("INDEX(GOOGLEFINANCE(A645, ""open"", DATE(2025,2,3), DATE(2025,2,3)), 2, 2)"),115.76)</f>
        <v>115.76</v>
      </c>
      <c r="G645" s="8">
        <f ca="1">IFERROR(__xludf.DUMMYFUNCTION("INDEX(GOOGLEFINANCE(A645, ""close"", DATE(2025,2,7), DATE(2025,2,7)), 2, 2)"),112.79)</f>
        <v>112.79</v>
      </c>
      <c r="H645" s="9">
        <f t="shared" ca="1" si="8"/>
        <v>-2.5656530753282643</v>
      </c>
      <c r="I645" s="10">
        <f t="shared" ca="1" si="9"/>
        <v>-25.656530753282642</v>
      </c>
      <c r="J645" s="10" t="str">
        <f t="shared" si="10"/>
        <v>Put Spread</v>
      </c>
      <c r="K645" s="10" t="str">
        <f t="shared" ca="1" si="11"/>
        <v>Success</v>
      </c>
    </row>
    <row r="646" spans="1:11" ht="16">
      <c r="A646" s="1" t="s">
        <v>665</v>
      </c>
      <c r="B646" s="8" t="s">
        <v>14</v>
      </c>
      <c r="C646" s="8">
        <v>127.17</v>
      </c>
      <c r="D646" s="8" t="s">
        <v>15</v>
      </c>
      <c r="E646" s="8">
        <v>106.43</v>
      </c>
      <c r="F646" s="8">
        <f ca="1">IFERROR(__xludf.DUMMYFUNCTION("INDEX(GOOGLEFINANCE(A646, ""open"", DATE(2025,2,3), DATE(2025,2,3)), 2, 2)"),111.87)</f>
        <v>111.87</v>
      </c>
      <c r="G646" s="8">
        <f ca="1">IFERROR(__xludf.DUMMYFUNCTION("INDEX(GOOGLEFINANCE(A646, ""close"", DATE(2025,2,7), DATE(2025,2,7)), 2, 2)"),117.41)</f>
        <v>117.41</v>
      </c>
      <c r="H646" s="9">
        <f t="shared" ca="1" si="8"/>
        <v>4.952176633592555</v>
      </c>
      <c r="I646" s="10">
        <f t="shared" ca="1" si="9"/>
        <v>49.521766335925548</v>
      </c>
      <c r="J646" s="10" t="str">
        <f t="shared" si="10"/>
        <v>Put Spread</v>
      </c>
      <c r="K646" s="10" t="str">
        <f t="shared" ca="1" si="11"/>
        <v>Success</v>
      </c>
    </row>
    <row r="647" spans="1:11" ht="16">
      <c r="A647" s="1" t="s">
        <v>666</v>
      </c>
      <c r="B647" s="8" t="s">
        <v>14</v>
      </c>
      <c r="C647" s="8">
        <v>0.76</v>
      </c>
      <c r="D647" s="8" t="s">
        <v>15</v>
      </c>
      <c r="E647" s="8">
        <v>0.17</v>
      </c>
      <c r="F647" s="8">
        <f ca="1">IFERROR(__xludf.DUMMYFUNCTION("INDEX(GOOGLEFINANCE(A647, ""open"", DATE(2025,2,3), DATE(2025,2,3)), 2, 2)"),0.46)</f>
        <v>0.46</v>
      </c>
      <c r="G647" s="8">
        <f ca="1">IFERROR(__xludf.DUMMYFUNCTION("INDEX(GOOGLEFINANCE(A647, ""close"", DATE(2025,2,7), DATE(2025,2,7)), 2, 2)"),0.53)</f>
        <v>0.53</v>
      </c>
      <c r="H647" s="9">
        <f t="shared" ca="1" si="8"/>
        <v>15.217391304347828</v>
      </c>
      <c r="I647" s="10">
        <f t="shared" ca="1" si="9"/>
        <v>152.17391304347828</v>
      </c>
      <c r="J647" s="10" t="str">
        <f t="shared" si="10"/>
        <v>Put Spread</v>
      </c>
      <c r="K647" s="10" t="str">
        <f t="shared" ca="1" si="11"/>
        <v>Success</v>
      </c>
    </row>
    <row r="648" spans="1:11" ht="16">
      <c r="A648" s="1" t="s">
        <v>667</v>
      </c>
      <c r="B648" s="8" t="s">
        <v>38</v>
      </c>
      <c r="C648" s="8">
        <v>109.11</v>
      </c>
      <c r="D648" s="8" t="s">
        <v>39</v>
      </c>
      <c r="E648" s="8">
        <v>111.9</v>
      </c>
      <c r="F648" s="8">
        <f ca="1">IFERROR(__xludf.DUMMYFUNCTION("INDEX(GOOGLEFINANCE(A648, ""open"", DATE(2025,2,3), DATE(2025,2,3)), 2, 2)"),110.12)</f>
        <v>110.12</v>
      </c>
      <c r="G648" s="8">
        <f ca="1">IFERROR(__xludf.DUMMYFUNCTION("INDEX(GOOGLEFINANCE(A648, ""close"", DATE(2025,2,7), DATE(2025,2,7)), 2, 2)"),110.19)</f>
        <v>110.19</v>
      </c>
      <c r="H648" s="9">
        <f t="shared" ca="1" si="8"/>
        <v>-6.3567017798758785E-2</v>
      </c>
      <c r="I648" s="10">
        <f t="shared" ca="1" si="9"/>
        <v>-0.63567017798758785</v>
      </c>
      <c r="J648" s="10" t="str">
        <f t="shared" si="10"/>
        <v>Call Spread</v>
      </c>
      <c r="K648" s="10" t="str">
        <f t="shared" ca="1" si="11"/>
        <v>Success</v>
      </c>
    </row>
    <row r="649" spans="1:11" ht="16">
      <c r="A649" s="1" t="s">
        <v>668</v>
      </c>
      <c r="B649" s="8" t="s">
        <v>14</v>
      </c>
      <c r="C649" s="8">
        <v>82.76</v>
      </c>
      <c r="D649" s="8" t="s">
        <v>15</v>
      </c>
      <c r="E649" s="8">
        <v>81.819999999999993</v>
      </c>
      <c r="F649" s="8">
        <f ca="1">IFERROR(__xludf.DUMMYFUNCTION("INDEX(GOOGLEFINANCE(A649, ""open"", DATE(2025,2,3), DATE(2025,2,3)), 2, 2)"),81.99)</f>
        <v>81.99</v>
      </c>
      <c r="G649" s="8">
        <f ca="1">IFERROR(__xludf.DUMMYFUNCTION("INDEX(GOOGLEFINANCE(A649, ""close"", DATE(2025,2,7), DATE(2025,2,7)), 2, 2)"),81.97)</f>
        <v>81.97</v>
      </c>
      <c r="H649" s="9">
        <f t="shared" ca="1" si="8"/>
        <v>-2.4393218685200661E-2</v>
      </c>
      <c r="I649" s="10">
        <f t="shared" ca="1" si="9"/>
        <v>-0.24393218685200663</v>
      </c>
      <c r="J649" s="10" t="str">
        <f t="shared" si="10"/>
        <v>Put Spread</v>
      </c>
      <c r="K649" s="10" t="str">
        <f t="shared" ca="1" si="11"/>
        <v>Success</v>
      </c>
    </row>
    <row r="650" spans="1:11" ht="16">
      <c r="A650" s="1" t="s">
        <v>669</v>
      </c>
      <c r="B650" s="8" t="s">
        <v>14</v>
      </c>
      <c r="C650" s="8">
        <v>36.43</v>
      </c>
      <c r="D650" s="8" t="s">
        <v>15</v>
      </c>
      <c r="E650" s="8">
        <v>32.75</v>
      </c>
      <c r="F650" s="8">
        <f ca="1">IFERROR(__xludf.DUMMYFUNCTION("INDEX(GOOGLEFINANCE(A650, ""open"", DATE(2025,2,3), DATE(2025,2,3)), 2, 2)"),34.5)</f>
        <v>34.5</v>
      </c>
      <c r="G650" s="8">
        <f ca="1">IFERROR(__xludf.DUMMYFUNCTION("INDEX(GOOGLEFINANCE(A650, ""close"", DATE(2025,2,7), DATE(2025,2,7)), 2, 2)"),36.06)</f>
        <v>36.06</v>
      </c>
      <c r="H650" s="9">
        <f t="shared" ca="1" si="8"/>
        <v>4.5217391304347894</v>
      </c>
      <c r="I650" s="10">
        <f t="shared" ca="1" si="9"/>
        <v>45.217391304347892</v>
      </c>
      <c r="J650" s="10" t="str">
        <f t="shared" si="10"/>
        <v>Put Spread</v>
      </c>
      <c r="K650" s="10" t="str">
        <f t="shared" ca="1" si="11"/>
        <v>Success</v>
      </c>
    </row>
    <row r="651" spans="1:11" ht="16">
      <c r="A651" s="1" t="s">
        <v>670</v>
      </c>
      <c r="B651" s="8" t="s">
        <v>14</v>
      </c>
      <c r="C651" s="8">
        <v>12.07</v>
      </c>
      <c r="D651" s="8" t="s">
        <v>15</v>
      </c>
      <c r="E651" s="8">
        <v>9.83</v>
      </c>
      <c r="F651" s="8">
        <f ca="1">IFERROR(__xludf.DUMMYFUNCTION("INDEX(GOOGLEFINANCE(A651, ""open"", DATE(2025,2,3), DATE(2025,2,3)), 2, 2)"),10.97)</f>
        <v>10.97</v>
      </c>
      <c r="G651" s="8">
        <f ca="1">IFERROR(__xludf.DUMMYFUNCTION("INDEX(GOOGLEFINANCE(A651, ""close"", DATE(2025,2,7), DATE(2025,2,7)), 2, 2)"),11.44)</f>
        <v>11.44</v>
      </c>
      <c r="H651" s="9">
        <f t="shared" ca="1" si="8"/>
        <v>4.2844120328167623</v>
      </c>
      <c r="I651" s="10">
        <f t="shared" ca="1" si="9"/>
        <v>42.84412032816762</v>
      </c>
      <c r="J651" s="10" t="str">
        <f t="shared" si="10"/>
        <v>Put Spread</v>
      </c>
      <c r="K651" s="10" t="str">
        <f t="shared" ca="1" si="11"/>
        <v>Success</v>
      </c>
    </row>
    <row r="652" spans="1:11" ht="16">
      <c r="A652" s="1" t="s">
        <v>671</v>
      </c>
      <c r="B652" s="8" t="s">
        <v>14</v>
      </c>
      <c r="C652" s="8">
        <v>58.29</v>
      </c>
      <c r="D652" s="8" t="s">
        <v>15</v>
      </c>
      <c r="E652" s="8">
        <v>50.93</v>
      </c>
      <c r="F652" s="8">
        <f ca="1">IFERROR(__xludf.DUMMYFUNCTION("INDEX(GOOGLEFINANCE(A652, ""open"", DATE(2025,2,3), DATE(2025,2,3)), 2, 2)"),53.52)</f>
        <v>53.52</v>
      </c>
      <c r="G652" s="8">
        <f ca="1">IFERROR(__xludf.DUMMYFUNCTION("INDEX(GOOGLEFINANCE(A652, ""close"", DATE(2025,2,7), DATE(2025,2,7)), 2, 2)"),52.8)</f>
        <v>52.8</v>
      </c>
      <c r="H652" s="9">
        <f t="shared" ca="1" si="8"/>
        <v>-1.3452914798206388</v>
      </c>
      <c r="I652" s="10">
        <f t="shared" ca="1" si="9"/>
        <v>-13.452914798206388</v>
      </c>
      <c r="J652" s="10" t="str">
        <f t="shared" si="10"/>
        <v>Put Spread</v>
      </c>
      <c r="K652" s="10" t="str">
        <f t="shared" ca="1" si="11"/>
        <v>Success</v>
      </c>
    </row>
    <row r="653" spans="1:11" ht="16">
      <c r="A653" s="1" t="s">
        <v>672</v>
      </c>
      <c r="B653" s="8" t="s">
        <v>14</v>
      </c>
      <c r="C653" s="8">
        <v>26.14</v>
      </c>
      <c r="D653" s="8" t="s">
        <v>15</v>
      </c>
      <c r="E653" s="8">
        <v>21.88</v>
      </c>
      <c r="F653" s="8">
        <f ca="1">IFERROR(__xludf.DUMMYFUNCTION("INDEX(GOOGLEFINANCE(A653, ""open"", DATE(2025,2,3), DATE(2025,2,3)), 2, 2)"),23.39)</f>
        <v>23.39</v>
      </c>
      <c r="G653" s="8">
        <f ca="1">IFERROR(__xludf.DUMMYFUNCTION("INDEX(GOOGLEFINANCE(A653, ""close"", DATE(2025,2,7), DATE(2025,2,7)), 2, 2)"),25.44)</f>
        <v>25.44</v>
      </c>
      <c r="H653" s="9">
        <f t="shared" ca="1" si="8"/>
        <v>8.7644292432663562</v>
      </c>
      <c r="I653" s="10">
        <f t="shared" ca="1" si="9"/>
        <v>87.644292432663576</v>
      </c>
      <c r="J653" s="10" t="str">
        <f t="shared" si="10"/>
        <v>Put Spread</v>
      </c>
      <c r="K653" s="10" t="str">
        <f t="shared" ca="1" si="11"/>
        <v>Success</v>
      </c>
    </row>
    <row r="654" spans="1:11" ht="16">
      <c r="A654" s="1" t="s">
        <v>673</v>
      </c>
      <c r="B654" s="8" t="s">
        <v>14</v>
      </c>
      <c r="C654" s="8">
        <v>30.96</v>
      </c>
      <c r="D654" s="8" t="s">
        <v>15</v>
      </c>
      <c r="E654" s="8">
        <v>28.76</v>
      </c>
      <c r="F654" s="8">
        <f ca="1">IFERROR(__xludf.DUMMYFUNCTION("INDEX(GOOGLEFINANCE(A654, ""open"", DATE(2025,2,3), DATE(2025,2,3)), 2, 2)"),30)</f>
        <v>30</v>
      </c>
      <c r="G654" s="8">
        <f ca="1">IFERROR(__xludf.DUMMYFUNCTION("INDEX(GOOGLEFINANCE(A654, ""close"", DATE(2025,2,7), DATE(2025,2,7)), 2, 2)"),30.47)</f>
        <v>30.47</v>
      </c>
      <c r="H654" s="9">
        <f t="shared" ca="1" si="8"/>
        <v>1.5666666666666627</v>
      </c>
      <c r="I654" s="10">
        <f t="shared" ca="1" si="9"/>
        <v>15.666666666666627</v>
      </c>
      <c r="J654" s="10" t="str">
        <f t="shared" si="10"/>
        <v>Put Spread</v>
      </c>
      <c r="K654" s="10" t="str">
        <f t="shared" ca="1" si="11"/>
        <v>Success</v>
      </c>
    </row>
    <row r="655" spans="1:11" ht="16">
      <c r="A655" s="1" t="s">
        <v>674</v>
      </c>
      <c r="B655" s="8" t="s">
        <v>14</v>
      </c>
      <c r="C655" s="8">
        <v>7.31</v>
      </c>
      <c r="D655" s="8" t="s">
        <v>15</v>
      </c>
      <c r="E655" s="8">
        <v>5.99</v>
      </c>
      <c r="F655" s="8">
        <f ca="1">IFERROR(__xludf.DUMMYFUNCTION("INDEX(GOOGLEFINANCE(A655, ""open"", DATE(2025,2,3), DATE(2025,2,3)), 2, 2)"),6.46)</f>
        <v>6.46</v>
      </c>
      <c r="G655" s="8">
        <f ca="1">IFERROR(__xludf.DUMMYFUNCTION("INDEX(GOOGLEFINANCE(A655, ""close"", DATE(2025,2,7), DATE(2025,2,7)), 2, 2)"),6.21)</f>
        <v>6.21</v>
      </c>
      <c r="H655" s="9">
        <f t="shared" ca="1" si="8"/>
        <v>-3.8699690402476783</v>
      </c>
      <c r="I655" s="10">
        <f t="shared" ca="1" si="9"/>
        <v>-38.699690402476783</v>
      </c>
      <c r="J655" s="10" t="str">
        <f t="shared" si="10"/>
        <v>Put Spread</v>
      </c>
      <c r="K655" s="10" t="str">
        <f t="shared" ca="1" si="11"/>
        <v>Success</v>
      </c>
    </row>
    <row r="656" spans="1:11" ht="16">
      <c r="A656" s="1" t="s">
        <v>675</v>
      </c>
      <c r="B656" s="8" t="s">
        <v>38</v>
      </c>
      <c r="C656" s="8">
        <v>124.27</v>
      </c>
      <c r="D656" s="8" t="s">
        <v>39</v>
      </c>
      <c r="E656" s="8">
        <v>132.38999999999999</v>
      </c>
      <c r="F656" s="8">
        <f ca="1">IFERROR(__xludf.DUMMYFUNCTION("INDEX(GOOGLEFINANCE(A656, ""open"", DATE(2025,2,3), DATE(2025,2,3)), 2, 2)"),124.6)</f>
        <v>124.6</v>
      </c>
      <c r="G656" s="8">
        <f ca="1">IFERROR(__xludf.DUMMYFUNCTION("INDEX(GOOGLEFINANCE(A656, ""close"", DATE(2025,2,7), DATE(2025,2,7)), 2, 2)"),128.94)</f>
        <v>128.94</v>
      </c>
      <c r="H656" s="9">
        <f t="shared" ca="1" si="8"/>
        <v>-3.4831460674157335</v>
      </c>
      <c r="I656" s="10">
        <f t="shared" ca="1" si="9"/>
        <v>-34.831460674157334</v>
      </c>
      <c r="J656" s="10" t="str">
        <f t="shared" si="10"/>
        <v>Call Spread</v>
      </c>
      <c r="K656" s="10" t="str">
        <f t="shared" ca="1" si="11"/>
        <v>Success</v>
      </c>
    </row>
    <row r="657" spans="1:11" ht="16">
      <c r="A657" s="1" t="s">
        <v>676</v>
      </c>
      <c r="B657" s="8" t="s">
        <v>38</v>
      </c>
      <c r="C657" s="8">
        <v>38.49</v>
      </c>
      <c r="D657" s="8" t="s">
        <v>39</v>
      </c>
      <c r="E657" s="8">
        <v>42.07</v>
      </c>
      <c r="F657" s="8">
        <f ca="1">IFERROR(__xludf.DUMMYFUNCTION("INDEX(GOOGLEFINANCE(A657, ""open"", DATE(2025,2,3), DATE(2025,2,3)), 2, 2)"),40.13)</f>
        <v>40.130000000000003</v>
      </c>
      <c r="G657" s="8">
        <f ca="1">IFERROR(__xludf.DUMMYFUNCTION("INDEX(GOOGLEFINANCE(A657, ""close"", DATE(2025,2,7), DATE(2025,2,7)), 2, 2)"),40.16)</f>
        <v>40.159999999999997</v>
      </c>
      <c r="H657" s="9">
        <f t="shared" ca="1" si="8"/>
        <v>-7.4757039621216118E-2</v>
      </c>
      <c r="I657" s="10">
        <f t="shared" ca="1" si="9"/>
        <v>-0.74757039621216126</v>
      </c>
      <c r="J657" s="10" t="str">
        <f t="shared" si="10"/>
        <v>Call Spread</v>
      </c>
      <c r="K657" s="10" t="str">
        <f t="shared" ca="1" si="11"/>
        <v>Success</v>
      </c>
    </row>
    <row r="658" spans="1:11" ht="16">
      <c r="A658" s="1" t="s">
        <v>677</v>
      </c>
      <c r="B658" s="8" t="s">
        <v>14</v>
      </c>
      <c r="C658" s="8">
        <v>29.56</v>
      </c>
      <c r="D658" s="8" t="s">
        <v>15</v>
      </c>
      <c r="E658" s="8">
        <v>27.46</v>
      </c>
      <c r="F658" s="8">
        <f ca="1">IFERROR(__xludf.DUMMYFUNCTION("INDEX(GOOGLEFINANCE(A658, ""open"", DATE(2025,2,3), DATE(2025,2,3)), 2, 2)"),28.55)</f>
        <v>28.55</v>
      </c>
      <c r="G658" s="8">
        <f ca="1">IFERROR(__xludf.DUMMYFUNCTION("INDEX(GOOGLEFINANCE(A658, ""close"", DATE(2025,2,7), DATE(2025,2,7)), 2, 2)"),29.03)</f>
        <v>29.03</v>
      </c>
      <c r="H658" s="9">
        <f t="shared" ca="1" si="8"/>
        <v>1.6812609457092835</v>
      </c>
      <c r="I658" s="10">
        <f t="shared" ca="1" si="9"/>
        <v>16.812609457092837</v>
      </c>
      <c r="J658" s="10" t="str">
        <f t="shared" si="10"/>
        <v>Put Spread</v>
      </c>
      <c r="K658" s="10" t="str">
        <f t="shared" ca="1" si="11"/>
        <v>Success</v>
      </c>
    </row>
    <row r="659" spans="1:11" ht="16">
      <c r="A659" s="1" t="s">
        <v>678</v>
      </c>
      <c r="B659" s="8" t="s">
        <v>14</v>
      </c>
      <c r="C659" s="8">
        <v>33.33</v>
      </c>
      <c r="D659" s="8" t="s">
        <v>15</v>
      </c>
      <c r="E659" s="8">
        <v>23.71</v>
      </c>
      <c r="F659" s="8">
        <f ca="1">IFERROR(__xludf.DUMMYFUNCTION("INDEX(GOOGLEFINANCE(A659, ""open"", DATE(2025,2,3), DATE(2025,2,3)), 2, 2)"),27.2)</f>
        <v>27.2</v>
      </c>
      <c r="G659" s="8">
        <f ca="1">IFERROR(__xludf.DUMMYFUNCTION("INDEX(GOOGLEFINANCE(A659, ""close"", DATE(2025,2,7), DATE(2025,2,7)), 2, 2)"),36.28)</f>
        <v>36.28</v>
      </c>
      <c r="H659" s="9">
        <f t="shared" ca="1" si="8"/>
        <v>33.382352941176478</v>
      </c>
      <c r="I659" s="10">
        <f t="shared" ca="1" si="9"/>
        <v>333.82352941176475</v>
      </c>
      <c r="J659" s="10" t="str">
        <f t="shared" si="10"/>
        <v>Put Spread</v>
      </c>
      <c r="K659" s="10" t="str">
        <f t="shared" ca="1" si="11"/>
        <v>Success</v>
      </c>
    </row>
    <row r="660" spans="1:11" ht="16">
      <c r="A660" s="1" t="s">
        <v>679</v>
      </c>
      <c r="B660" s="8" t="s">
        <v>38</v>
      </c>
      <c r="C660" s="8">
        <v>231.09</v>
      </c>
      <c r="D660" s="8" t="s">
        <v>39</v>
      </c>
      <c r="E660" s="8">
        <v>256.14999999999998</v>
      </c>
      <c r="F660" s="8">
        <f ca="1">IFERROR(__xludf.DUMMYFUNCTION("INDEX(GOOGLEFINANCE(A660, ""open"", DATE(2025,2,3), DATE(2025,2,3)), 2, 2)"),235.97)</f>
        <v>235.97</v>
      </c>
      <c r="G660" s="8">
        <f ca="1">IFERROR(__xludf.DUMMYFUNCTION("INDEX(GOOGLEFINANCE(A660, ""close"", DATE(2025,2,7), DATE(2025,2,7)), 2, 2)"),245)</f>
        <v>245</v>
      </c>
      <c r="H660" s="9">
        <f t="shared" ca="1" si="8"/>
        <v>-3.8267576386828837</v>
      </c>
      <c r="I660" s="10">
        <f t="shared" ca="1" si="9"/>
        <v>-38.267576386828836</v>
      </c>
      <c r="J660" s="10" t="str">
        <f t="shared" si="10"/>
        <v>Call Spread</v>
      </c>
      <c r="K660" s="10" t="str">
        <f t="shared" ca="1" si="11"/>
        <v>Success</v>
      </c>
    </row>
    <row r="661" spans="1:11" ht="16">
      <c r="A661" s="1" t="s">
        <v>680</v>
      </c>
      <c r="B661" s="8" t="s">
        <v>14</v>
      </c>
      <c r="C661" s="8">
        <v>27.84</v>
      </c>
      <c r="D661" s="8" t="s">
        <v>15</v>
      </c>
      <c r="E661" s="8">
        <v>19.84</v>
      </c>
      <c r="F661" s="8">
        <f ca="1">IFERROR(__xludf.DUMMYFUNCTION("INDEX(GOOGLEFINANCE(A661, ""open"", DATE(2025,2,3), DATE(2025,2,3)), 2, 2)"),21.45)</f>
        <v>21.45</v>
      </c>
      <c r="G661" s="8">
        <f ca="1">IFERROR(__xludf.DUMMYFUNCTION("INDEX(GOOGLEFINANCE(A661, ""close"", DATE(2025,2,7), DATE(2025,2,7)), 2, 2)"),25.84)</f>
        <v>25.84</v>
      </c>
      <c r="H661" s="9">
        <f t="shared" ca="1" si="8"/>
        <v>20.466200466200469</v>
      </c>
      <c r="I661" s="10">
        <f t="shared" ca="1" si="9"/>
        <v>204.6620046620047</v>
      </c>
      <c r="J661" s="10" t="str">
        <f t="shared" si="10"/>
        <v>Put Spread</v>
      </c>
      <c r="K661" s="10" t="str">
        <f t="shared" ca="1" si="11"/>
        <v>Success</v>
      </c>
    </row>
    <row r="662" spans="1:11" ht="16">
      <c r="A662" s="1" t="s">
        <v>681</v>
      </c>
      <c r="B662" s="8" t="s">
        <v>14</v>
      </c>
      <c r="C662" s="8">
        <v>12.69</v>
      </c>
      <c r="D662" s="8" t="s">
        <v>15</v>
      </c>
      <c r="E662" s="8">
        <v>9.89</v>
      </c>
      <c r="F662" s="8">
        <f ca="1">IFERROR(__xludf.DUMMYFUNCTION("INDEX(GOOGLEFINANCE(A662, ""open"", DATE(2025,2,3), DATE(2025,2,3)), 2, 2)"),11)</f>
        <v>11</v>
      </c>
      <c r="G662" s="8">
        <f ca="1">IFERROR(__xludf.DUMMYFUNCTION("INDEX(GOOGLEFINANCE(A662, ""close"", DATE(2025,2,7), DATE(2025,2,7)), 2, 2)"),10.92)</f>
        <v>10.92</v>
      </c>
      <c r="H662" s="9">
        <f t="shared" ca="1" si="8"/>
        <v>-0.72727272727272785</v>
      </c>
      <c r="I662" s="10">
        <f t="shared" ca="1" si="9"/>
        <v>-7.2727272727272778</v>
      </c>
      <c r="J662" s="10" t="str">
        <f t="shared" si="10"/>
        <v>Put Spread</v>
      </c>
      <c r="K662" s="10" t="str">
        <f t="shared" ca="1" si="11"/>
        <v>Success</v>
      </c>
    </row>
    <row r="663" spans="1:11" ht="16">
      <c r="A663" s="1" t="s">
        <v>682</v>
      </c>
      <c r="B663" s="8" t="s">
        <v>14</v>
      </c>
      <c r="C663" s="8">
        <v>1.93</v>
      </c>
      <c r="D663" s="8" t="s">
        <v>15</v>
      </c>
      <c r="E663" s="8">
        <v>1.55</v>
      </c>
      <c r="F663" s="8">
        <f ca="1">IFERROR(__xludf.DUMMYFUNCTION("INDEX(GOOGLEFINANCE(A663, ""open"", DATE(2025,2,3), DATE(2025,2,3)), 2, 2)"),1.65)</f>
        <v>1.65</v>
      </c>
      <c r="G663" s="8">
        <f ca="1">IFERROR(__xludf.DUMMYFUNCTION("INDEX(GOOGLEFINANCE(A663, ""close"", DATE(2025,2,7), DATE(2025,2,7)), 2, 2)"),1.86)</f>
        <v>1.86</v>
      </c>
      <c r="H663" s="9">
        <f t="shared" ca="1" si="8"/>
        <v>12.727272727272739</v>
      </c>
      <c r="I663" s="10">
        <f t="shared" ca="1" si="9"/>
        <v>127.27272727272739</v>
      </c>
      <c r="J663" s="10" t="str">
        <f t="shared" si="10"/>
        <v>Put Spread</v>
      </c>
      <c r="K663" s="10" t="str">
        <f t="shared" ca="1" si="11"/>
        <v>Success</v>
      </c>
    </row>
    <row r="664" spans="1:11" ht="16">
      <c r="A664" s="1" t="s">
        <v>683</v>
      </c>
      <c r="B664" s="8" t="s">
        <v>14</v>
      </c>
      <c r="C664" s="8">
        <v>196.27</v>
      </c>
      <c r="D664" s="8" t="s">
        <v>15</v>
      </c>
      <c r="E664" s="8">
        <v>166.75</v>
      </c>
      <c r="F664" s="8">
        <f ca="1">IFERROR(__xludf.DUMMYFUNCTION("INDEX(GOOGLEFINANCE(A664, ""open"", DATE(2025,2,3), DATE(2025,2,3)), 2, 2)"),176.17)</f>
        <v>176.17</v>
      </c>
      <c r="G664" s="8">
        <f ca="1">IFERROR(__xludf.DUMMYFUNCTION("INDEX(GOOGLEFINANCE(A664, ""close"", DATE(2025,2,7), DATE(2025,2,7)), 2, 2)"),184.03)</f>
        <v>184.03</v>
      </c>
      <c r="H664" s="9">
        <f t="shared" ca="1" si="8"/>
        <v>4.4615995913038624</v>
      </c>
      <c r="I664" s="10">
        <f t="shared" ca="1" si="9"/>
        <v>44.615995913038624</v>
      </c>
      <c r="J664" s="10" t="str">
        <f t="shared" si="10"/>
        <v>Put Spread</v>
      </c>
      <c r="K664" s="10" t="str">
        <f t="shared" ca="1" si="11"/>
        <v>Success</v>
      </c>
    </row>
    <row r="665" spans="1:11" ht="16">
      <c r="A665" s="1" t="s">
        <v>684</v>
      </c>
      <c r="B665" s="8" t="s">
        <v>14</v>
      </c>
      <c r="C665" s="8">
        <v>86.94</v>
      </c>
      <c r="D665" s="8" t="s">
        <v>15</v>
      </c>
      <c r="E665" s="8">
        <v>80.959999999999994</v>
      </c>
      <c r="F665" s="8">
        <f ca="1">IFERROR(__xludf.DUMMYFUNCTION("INDEX(GOOGLEFINANCE(A665, ""open"", DATE(2025,2,3), DATE(2025,2,3)), 2, 2)"),83.52)</f>
        <v>83.52</v>
      </c>
      <c r="G665" s="8">
        <f ca="1">IFERROR(__xludf.DUMMYFUNCTION("INDEX(GOOGLEFINANCE(A665, ""close"", DATE(2025,2,7), DATE(2025,2,7)), 2, 2)"),84.58)</f>
        <v>84.58</v>
      </c>
      <c r="H665" s="9">
        <f t="shared" ca="1" si="8"/>
        <v>1.2691570881226082</v>
      </c>
      <c r="I665" s="10">
        <f t="shared" ca="1" si="9"/>
        <v>12.691570881226083</v>
      </c>
      <c r="J665" s="10" t="str">
        <f t="shared" si="10"/>
        <v>Put Spread</v>
      </c>
      <c r="K665" s="10" t="str">
        <f t="shared" ca="1" si="11"/>
        <v>Success</v>
      </c>
    </row>
    <row r="666" spans="1:11" ht="16">
      <c r="A666" s="1" t="s">
        <v>685</v>
      </c>
      <c r="B666" s="8" t="s">
        <v>14</v>
      </c>
      <c r="C666" s="8">
        <v>47.34</v>
      </c>
      <c r="D666" s="8" t="s">
        <v>15</v>
      </c>
      <c r="E666" s="8">
        <v>44.94</v>
      </c>
      <c r="F666" s="8">
        <f ca="1">IFERROR(__xludf.DUMMYFUNCTION("INDEX(GOOGLEFINANCE(A666, ""open"", DATE(2025,2,3), DATE(2025,2,3)), 2, 2)"),45.22)</f>
        <v>45.22</v>
      </c>
      <c r="G666" s="8">
        <f ca="1">IFERROR(__xludf.DUMMYFUNCTION("INDEX(GOOGLEFINANCE(A666, ""close"", DATE(2025,2,7), DATE(2025,2,7)), 2, 2)"),48.48)</f>
        <v>48.48</v>
      </c>
      <c r="H666" s="9">
        <f t="shared" ca="1" si="8"/>
        <v>7.2091994692613852</v>
      </c>
      <c r="I666" s="10">
        <f t="shared" ca="1" si="9"/>
        <v>72.091994692613852</v>
      </c>
      <c r="J666" s="10" t="str">
        <f t="shared" si="10"/>
        <v>Put Spread</v>
      </c>
      <c r="K666" s="10" t="str">
        <f t="shared" ca="1" si="11"/>
        <v>Success</v>
      </c>
    </row>
    <row r="667" spans="1:11" ht="16">
      <c r="A667" s="1" t="s">
        <v>686</v>
      </c>
      <c r="B667" s="8" t="s">
        <v>14</v>
      </c>
      <c r="C667" s="8">
        <v>17.09</v>
      </c>
      <c r="D667" s="8" t="s">
        <v>15</v>
      </c>
      <c r="E667" s="8">
        <v>14.47</v>
      </c>
      <c r="F667" s="8">
        <f ca="1">IFERROR(__xludf.DUMMYFUNCTION("INDEX(GOOGLEFINANCE(A667, ""open"", DATE(2025,2,3), DATE(2025,2,3)), 2, 2)"),14.98)</f>
        <v>14.98</v>
      </c>
      <c r="G667" s="8">
        <f ca="1">IFERROR(__xludf.DUMMYFUNCTION("INDEX(GOOGLEFINANCE(A667, ""close"", DATE(2025,2,7), DATE(2025,2,7)), 2, 2)"),14.91)</f>
        <v>14.91</v>
      </c>
      <c r="H667" s="9">
        <f t="shared" ca="1" si="8"/>
        <v>-0.46728971962617011</v>
      </c>
      <c r="I667" s="10">
        <f t="shared" ca="1" si="9"/>
        <v>-4.672897196261701</v>
      </c>
      <c r="J667" s="10" t="str">
        <f t="shared" si="10"/>
        <v>Put Spread</v>
      </c>
      <c r="K667" s="10" t="str">
        <f t="shared" ca="1" si="11"/>
        <v>Success</v>
      </c>
    </row>
    <row r="668" spans="1:11" ht="16">
      <c r="A668" s="1" t="s">
        <v>687</v>
      </c>
      <c r="B668" s="8" t="s">
        <v>14</v>
      </c>
      <c r="C668" s="8">
        <v>16.8</v>
      </c>
      <c r="D668" s="8" t="s">
        <v>15</v>
      </c>
      <c r="E668" s="8">
        <v>11.5</v>
      </c>
      <c r="F668" s="8">
        <f ca="1">IFERROR(__xludf.DUMMYFUNCTION("INDEX(GOOGLEFINANCE(A668, ""open"", DATE(2025,2,3), DATE(2025,2,3)), 2, 2)"),13.07)</f>
        <v>13.07</v>
      </c>
      <c r="G668" s="8">
        <f ca="1">IFERROR(__xludf.DUMMYFUNCTION("INDEX(GOOGLEFINANCE(A668, ""close"", DATE(2025,2,7), DATE(2025,2,7)), 2, 2)"),15.6)</f>
        <v>15.6</v>
      </c>
      <c r="H668" s="9">
        <f t="shared" ca="1" si="8"/>
        <v>19.357306809487369</v>
      </c>
      <c r="I668" s="10">
        <f t="shared" ca="1" si="9"/>
        <v>193.57306809487372</v>
      </c>
      <c r="J668" s="10" t="str">
        <f t="shared" si="10"/>
        <v>Put Spread</v>
      </c>
      <c r="K668" s="10" t="str">
        <f t="shared" ca="1" si="11"/>
        <v>Success</v>
      </c>
    </row>
    <row r="669" spans="1:11" ht="16">
      <c r="A669" s="1" t="s">
        <v>688</v>
      </c>
      <c r="B669" s="8" t="s">
        <v>14</v>
      </c>
      <c r="C669" s="8">
        <v>30.53</v>
      </c>
      <c r="D669" s="8" t="s">
        <v>15</v>
      </c>
      <c r="E669" s="8">
        <v>23.51</v>
      </c>
      <c r="F669" s="8">
        <f ca="1">IFERROR(__xludf.DUMMYFUNCTION("INDEX(GOOGLEFINANCE(A669, ""open"", DATE(2025,2,3), DATE(2025,2,3)), 2, 2)"),24.8)</f>
        <v>24.8</v>
      </c>
      <c r="G669" s="8">
        <f ca="1">IFERROR(__xludf.DUMMYFUNCTION("INDEX(GOOGLEFINANCE(A669, ""close"", DATE(2025,2,7), DATE(2025,2,7)), 2, 2)"),26.33)</f>
        <v>26.33</v>
      </c>
      <c r="H669" s="9">
        <f t="shared" ca="1" si="8"/>
        <v>6.1693548387096673</v>
      </c>
      <c r="I669" s="10">
        <f t="shared" ca="1" si="9"/>
        <v>61.693548387096669</v>
      </c>
      <c r="J669" s="10" t="str">
        <f t="shared" si="10"/>
        <v>Put Spread</v>
      </c>
      <c r="K669" s="10" t="str">
        <f t="shared" ca="1" si="11"/>
        <v>Success</v>
      </c>
    </row>
    <row r="670" spans="1:11" ht="16">
      <c r="A670" s="1" t="s">
        <v>689</v>
      </c>
      <c r="B670" s="8" t="s">
        <v>14</v>
      </c>
      <c r="C670" s="8">
        <v>24.29</v>
      </c>
      <c r="D670" s="8" t="s">
        <v>15</v>
      </c>
      <c r="E670" s="8">
        <v>16.93</v>
      </c>
      <c r="F670" s="8">
        <f ca="1">IFERROR(__xludf.DUMMYFUNCTION("INDEX(GOOGLEFINANCE(A670, ""open"", DATE(2025,2,3), DATE(2025,2,3)), 2, 2)"),22.25)</f>
        <v>22.25</v>
      </c>
      <c r="G670" s="8">
        <f ca="1">IFERROR(__xludf.DUMMYFUNCTION("INDEX(GOOGLEFINANCE(A670, ""close"", DATE(2025,2,7), DATE(2025,2,7)), 2, 2)"),20.91)</f>
        <v>20.91</v>
      </c>
      <c r="H670" s="9">
        <f t="shared" ca="1" si="8"/>
        <v>-6.0224719101123592</v>
      </c>
      <c r="I670" s="10">
        <f t="shared" ca="1" si="9"/>
        <v>-60.22471910112359</v>
      </c>
      <c r="J670" s="10" t="str">
        <f t="shared" si="10"/>
        <v>Put Spread</v>
      </c>
      <c r="K670" s="10" t="str">
        <f t="shared" ca="1" si="11"/>
        <v>Success</v>
      </c>
    </row>
    <row r="671" spans="1:11" ht="16">
      <c r="A671" s="1" t="s">
        <v>690</v>
      </c>
      <c r="B671" s="8" t="s">
        <v>38</v>
      </c>
      <c r="C671" s="8">
        <v>207.48</v>
      </c>
      <c r="D671" s="8" t="s">
        <v>39</v>
      </c>
      <c r="E671" s="8">
        <v>228.78</v>
      </c>
      <c r="F671" s="8">
        <f ca="1">IFERROR(__xludf.DUMMYFUNCTION("INDEX(GOOGLEFINANCE(A671, ""open"", DATE(2025,2,3), DATE(2025,2,3)), 2, 2)"),212.39)</f>
        <v>212.39</v>
      </c>
      <c r="G671" s="8">
        <f ca="1">IFERROR(__xludf.DUMMYFUNCTION("INDEX(GOOGLEFINANCE(A671, ""close"", DATE(2025,2,7), DATE(2025,2,7)), 2, 2)"),216.87)</f>
        <v>216.87</v>
      </c>
      <c r="H671" s="9">
        <f t="shared" ca="1" si="8"/>
        <v>-2.1093271811290637</v>
      </c>
      <c r="I671" s="10">
        <f t="shared" ca="1" si="9"/>
        <v>-21.093271811290638</v>
      </c>
      <c r="J671" s="10" t="str">
        <f t="shared" si="10"/>
        <v>Call Spread</v>
      </c>
      <c r="K671" s="10" t="str">
        <f t="shared" ca="1" si="11"/>
        <v>Success</v>
      </c>
    </row>
    <row r="672" spans="1:11" ht="16">
      <c r="A672" s="1" t="s">
        <v>691</v>
      </c>
      <c r="B672" s="8" t="s">
        <v>14</v>
      </c>
      <c r="C672" s="8">
        <v>5.5</v>
      </c>
      <c r="D672" s="8" t="s">
        <v>15</v>
      </c>
      <c r="E672" s="8">
        <v>4.0199999999999996</v>
      </c>
      <c r="F672" s="8">
        <f ca="1">IFERROR(__xludf.DUMMYFUNCTION("INDEX(GOOGLEFINANCE(A672, ""open"", DATE(2025,2,3), DATE(2025,2,3)), 2, 2)"),4.53)</f>
        <v>4.53</v>
      </c>
      <c r="G672" s="8">
        <f ca="1">IFERROR(__xludf.DUMMYFUNCTION("INDEX(GOOGLEFINANCE(A672, ""close"", DATE(2025,2,7), DATE(2025,2,7)), 2, 2)"),4.29)</f>
        <v>4.29</v>
      </c>
      <c r="H672" s="9">
        <f t="shared" ca="1" si="8"/>
        <v>-5.2980132450331165</v>
      </c>
      <c r="I672" s="10">
        <f t="shared" ca="1" si="9"/>
        <v>-52.980132450331169</v>
      </c>
      <c r="J672" s="10" t="str">
        <f t="shared" si="10"/>
        <v>Put Spread</v>
      </c>
      <c r="K672" s="10" t="str">
        <f t="shared" ca="1" si="11"/>
        <v>Success</v>
      </c>
    </row>
    <row r="673" spans="1:11" ht="16">
      <c r="A673" s="1" t="s">
        <v>692</v>
      </c>
      <c r="B673" s="8" t="s">
        <v>14</v>
      </c>
      <c r="C673" s="8">
        <v>179.59</v>
      </c>
      <c r="D673" s="8" t="s">
        <v>15</v>
      </c>
      <c r="E673" s="8">
        <v>168.13</v>
      </c>
      <c r="F673" s="8">
        <f ca="1">IFERROR(__xludf.DUMMYFUNCTION("INDEX(GOOGLEFINANCE(A673, ""open"", DATE(2025,2,3), DATE(2025,2,3)), 2, 2)"),172.11)</f>
        <v>172.11</v>
      </c>
      <c r="G673" s="8">
        <f ca="1">IFERROR(__xludf.DUMMYFUNCTION("INDEX(GOOGLEFINANCE(A673, ""close"", DATE(2025,2,7), DATE(2025,2,7)), 2, 2)"),179.94)</f>
        <v>179.94</v>
      </c>
      <c r="H673" s="9">
        <f t="shared" ca="1" si="8"/>
        <v>4.5494160711172995</v>
      </c>
      <c r="I673" s="10">
        <f t="shared" ca="1" si="9"/>
        <v>45.494160711173002</v>
      </c>
      <c r="J673" s="10" t="str">
        <f t="shared" si="10"/>
        <v>Put Spread</v>
      </c>
      <c r="K673" s="10" t="str">
        <f t="shared" ca="1" si="11"/>
        <v>Success</v>
      </c>
    </row>
    <row r="674" spans="1:11" ht="16">
      <c r="A674" s="1" t="s">
        <v>693</v>
      </c>
      <c r="B674" s="8" t="s">
        <v>14</v>
      </c>
      <c r="C674" s="8">
        <v>95.24</v>
      </c>
      <c r="D674" s="8" t="s">
        <v>15</v>
      </c>
      <c r="E674" s="8">
        <v>87.38</v>
      </c>
      <c r="F674" s="8">
        <f ca="1">IFERROR(__xludf.DUMMYFUNCTION("INDEX(GOOGLEFINANCE(A674, ""open"", DATE(2025,2,3), DATE(2025,2,3)), 2, 2)"),89.03)</f>
        <v>89.03</v>
      </c>
      <c r="G674" s="8">
        <f ca="1">IFERROR(__xludf.DUMMYFUNCTION("INDEX(GOOGLEFINANCE(A674, ""close"", DATE(2025,2,7), DATE(2025,2,7)), 2, 2)"),91.32)</f>
        <v>91.32</v>
      </c>
      <c r="H674" s="9">
        <f t="shared" ca="1" si="8"/>
        <v>2.5721666853869394</v>
      </c>
      <c r="I674" s="10">
        <f t="shared" ca="1" si="9"/>
        <v>25.721666853869394</v>
      </c>
      <c r="J674" s="10" t="str">
        <f t="shared" si="10"/>
        <v>Put Spread</v>
      </c>
      <c r="K674" s="10" t="str">
        <f t="shared" ca="1" si="11"/>
        <v>Success</v>
      </c>
    </row>
    <row r="675" spans="1:11" ht="16">
      <c r="A675" s="1" t="s">
        <v>694</v>
      </c>
      <c r="B675" s="8" t="s">
        <v>38</v>
      </c>
      <c r="C675" s="8">
        <v>69.349999999999994</v>
      </c>
      <c r="D675" s="8" t="s">
        <v>39</v>
      </c>
      <c r="E675" s="8">
        <v>72.25</v>
      </c>
      <c r="F675" s="8">
        <f ca="1">IFERROR(__xludf.DUMMYFUNCTION("INDEX(GOOGLEFINANCE(A675, ""open"", DATE(2025,2,3), DATE(2025,2,3)), 2, 2)"),69.72)</f>
        <v>69.72</v>
      </c>
      <c r="G675" s="8">
        <f ca="1">IFERROR(__xludf.DUMMYFUNCTION("INDEX(GOOGLEFINANCE(A675, ""close"", DATE(2025,2,7), DATE(2025,2,7)), 2, 2)"),70.68)</f>
        <v>70.680000000000007</v>
      </c>
      <c r="H675" s="9">
        <f t="shared" ca="1" si="8"/>
        <v>-1.3769363166953643</v>
      </c>
      <c r="I675" s="10">
        <f t="shared" ca="1" si="9"/>
        <v>-13.769363166953642</v>
      </c>
      <c r="J675" s="10" t="str">
        <f t="shared" si="10"/>
        <v>Call Spread</v>
      </c>
      <c r="K675" s="10" t="str">
        <f t="shared" ca="1" si="11"/>
        <v>Success</v>
      </c>
    </row>
    <row r="676" spans="1:11" ht="16">
      <c r="A676" s="1" t="s">
        <v>695</v>
      </c>
      <c r="B676" s="8" t="s">
        <v>14</v>
      </c>
      <c r="C676" s="8">
        <v>589.85</v>
      </c>
      <c r="D676" s="8" t="s">
        <v>15</v>
      </c>
      <c r="E676" s="8">
        <v>507.25</v>
      </c>
      <c r="F676" s="8">
        <f ca="1">IFERROR(__xludf.DUMMYFUNCTION("INDEX(GOOGLEFINANCE(A676, ""open"", DATE(2025,2,3), DATE(2025,2,3)), 2, 2)"),538.92)</f>
        <v>538.91999999999996</v>
      </c>
      <c r="G676" s="8">
        <f ca="1">IFERROR(__xludf.DUMMYFUNCTION("INDEX(GOOGLEFINANCE(A676, ""close"", DATE(2025,2,7), DATE(2025,2,7)), 2, 2)"),622.99)</f>
        <v>622.99</v>
      </c>
      <c r="H676" s="9">
        <f t="shared" ca="1" si="8"/>
        <v>15.599717954427383</v>
      </c>
      <c r="I676" s="10">
        <f t="shared" ca="1" si="9"/>
        <v>155.99717954427385</v>
      </c>
      <c r="J676" s="10" t="str">
        <f t="shared" si="10"/>
        <v>Put Spread</v>
      </c>
      <c r="K676" s="10" t="str">
        <f t="shared" ca="1" si="11"/>
        <v>Success</v>
      </c>
    </row>
    <row r="677" spans="1:11" ht="16">
      <c r="A677" s="1" t="s">
        <v>696</v>
      </c>
      <c r="B677" s="8" t="s">
        <v>14</v>
      </c>
      <c r="C677" s="8">
        <v>74.83</v>
      </c>
      <c r="D677" s="8" t="s">
        <v>15</v>
      </c>
      <c r="E677" s="8">
        <v>72.010000000000005</v>
      </c>
      <c r="F677" s="8">
        <f ca="1">IFERROR(__xludf.DUMMYFUNCTION("INDEX(GOOGLEFINANCE(A677, ""open"", DATE(2025,2,3), DATE(2025,2,3)), 2, 2)"),72.21)</f>
        <v>72.209999999999994</v>
      </c>
      <c r="G677" s="8">
        <f ca="1">IFERROR(__xludf.DUMMYFUNCTION("INDEX(GOOGLEFINANCE(A677, ""close"", DATE(2025,2,7), DATE(2025,2,7)), 2, 2)"),73.24)</f>
        <v>73.239999999999995</v>
      </c>
      <c r="H677" s="9">
        <f t="shared" ca="1" si="8"/>
        <v>1.426395236116883</v>
      </c>
      <c r="I677" s="10">
        <f t="shared" ca="1" si="9"/>
        <v>14.263952361168831</v>
      </c>
      <c r="J677" s="10" t="str">
        <f t="shared" si="10"/>
        <v>Put Spread</v>
      </c>
      <c r="K677" s="10" t="str">
        <f t="shared" ca="1" si="11"/>
        <v>Success</v>
      </c>
    </row>
    <row r="678" spans="1:11" ht="16">
      <c r="A678" s="1" t="s">
        <v>697</v>
      </c>
      <c r="B678" s="8" t="s">
        <v>14</v>
      </c>
      <c r="C678" s="8">
        <v>190.78</v>
      </c>
      <c r="D678" s="8" t="s">
        <v>15</v>
      </c>
      <c r="E678" s="8">
        <v>169.18</v>
      </c>
      <c r="F678" s="8">
        <f ca="1">IFERROR(__xludf.DUMMYFUNCTION("INDEX(GOOGLEFINANCE(A678, ""open"", DATE(2025,2,3), DATE(2025,2,3)), 2, 2)"),171.63)</f>
        <v>171.63</v>
      </c>
      <c r="G678" s="8">
        <f ca="1">IFERROR(__xludf.DUMMYFUNCTION("INDEX(GOOGLEFINANCE(A678, ""close"", DATE(2025,2,7), DATE(2025,2,7)), 2, 2)"),178.49)</f>
        <v>178.49</v>
      </c>
      <c r="H678" s="9">
        <f t="shared" ca="1" si="8"/>
        <v>3.9969702266503608</v>
      </c>
      <c r="I678" s="10">
        <f t="shared" ca="1" si="9"/>
        <v>39.96970226650361</v>
      </c>
      <c r="J678" s="10" t="str">
        <f t="shared" si="10"/>
        <v>Put Spread</v>
      </c>
      <c r="K678" s="10" t="str">
        <f t="shared" ca="1" si="11"/>
        <v>Success</v>
      </c>
    </row>
    <row r="679" spans="1:11" ht="16">
      <c r="A679" s="1" t="s">
        <v>698</v>
      </c>
      <c r="B679" s="8" t="s">
        <v>14</v>
      </c>
      <c r="C679" s="8">
        <v>6.27</v>
      </c>
      <c r="D679" s="8" t="s">
        <v>15</v>
      </c>
      <c r="E679" s="8">
        <v>5.39</v>
      </c>
      <c r="F679" s="8">
        <f ca="1">IFERROR(__xludf.DUMMYFUNCTION("INDEX(GOOGLEFINANCE(A679, ""open"", DATE(2025,2,3), DATE(2025,2,3)), 2, 2)"),6.11)</f>
        <v>6.11</v>
      </c>
      <c r="G679" s="8">
        <f ca="1">IFERROR(__xludf.DUMMYFUNCTION("INDEX(GOOGLEFINANCE(A679, ""close"", DATE(2025,2,7), DATE(2025,2,7)), 2, 2)"),5.88)</f>
        <v>5.88</v>
      </c>
      <c r="H679" s="9">
        <f t="shared" ca="1" si="8"/>
        <v>-3.7643207855973881</v>
      </c>
      <c r="I679" s="10">
        <f t="shared" ca="1" si="9"/>
        <v>-37.643207855973884</v>
      </c>
      <c r="J679" s="10" t="str">
        <f t="shared" si="10"/>
        <v>Put Spread</v>
      </c>
      <c r="K679" s="10" t="str">
        <f t="shared" ca="1" si="11"/>
        <v>Success</v>
      </c>
    </row>
    <row r="680" spans="1:11" ht="16">
      <c r="A680" s="1" t="s">
        <v>699</v>
      </c>
      <c r="B680" s="8" t="s">
        <v>14</v>
      </c>
      <c r="C680" s="8">
        <v>22.34</v>
      </c>
      <c r="D680" s="8" t="s">
        <v>15</v>
      </c>
      <c r="E680" s="8">
        <v>19.52</v>
      </c>
      <c r="F680" s="8">
        <f ca="1">IFERROR(__xludf.DUMMYFUNCTION("INDEX(GOOGLEFINANCE(A680, ""open"", DATE(2025,2,3), DATE(2025,2,3)), 2, 2)"),21.89)</f>
        <v>21.89</v>
      </c>
      <c r="G680" s="8">
        <f ca="1">IFERROR(__xludf.DUMMYFUNCTION("INDEX(GOOGLEFINANCE(A680, ""close"", DATE(2025,2,7), DATE(2025,2,7)), 2, 2)"),21.07)</f>
        <v>21.07</v>
      </c>
      <c r="H680" s="9">
        <f t="shared" ca="1" si="8"/>
        <v>-3.7460027409776164</v>
      </c>
      <c r="I680" s="10">
        <f t="shared" ca="1" si="9"/>
        <v>-37.46002740977616</v>
      </c>
      <c r="J680" s="10" t="str">
        <f t="shared" si="10"/>
        <v>Put Spread</v>
      </c>
      <c r="K680" s="10" t="str">
        <f t="shared" ca="1" si="11"/>
        <v>Success</v>
      </c>
    </row>
    <row r="681" spans="1:11" ht="16">
      <c r="A681" s="1" t="s">
        <v>700</v>
      </c>
      <c r="B681" s="8" t="s">
        <v>38</v>
      </c>
      <c r="C681" s="8">
        <v>590.07000000000005</v>
      </c>
      <c r="D681" s="8" t="s">
        <v>39</v>
      </c>
      <c r="E681" s="8">
        <v>613.57000000000005</v>
      </c>
      <c r="F681" s="8">
        <f ca="1">IFERROR(__xludf.DUMMYFUNCTION("INDEX(GOOGLEFINANCE(A681, ""open"", DATE(2025,2,3), DATE(2025,2,3)), 2, 2)"),592.67)</f>
        <v>592.66999999999996</v>
      </c>
      <c r="G681" s="8">
        <f ca="1">IFERROR(__xludf.DUMMYFUNCTION("INDEX(GOOGLEFINANCE(A681, ""close"", DATE(2025,2,7), DATE(2025,2,7)), 2, 2)"),600.77)</f>
        <v>600.77</v>
      </c>
      <c r="H681" s="9">
        <f t="shared" ca="1" si="8"/>
        <v>-1.3666964752729214</v>
      </c>
      <c r="I681" s="10">
        <f t="shared" ca="1" si="9"/>
        <v>-13.666964752729214</v>
      </c>
      <c r="J681" s="10" t="str">
        <f t="shared" si="10"/>
        <v>Call Spread</v>
      </c>
      <c r="K681" s="10" t="str">
        <f t="shared" ca="1" si="11"/>
        <v>Success</v>
      </c>
    </row>
    <row r="682" spans="1:11" ht="16">
      <c r="A682" s="1" t="s">
        <v>701</v>
      </c>
      <c r="B682" s="8" t="s">
        <v>14</v>
      </c>
      <c r="C682" s="8">
        <v>44.7</v>
      </c>
      <c r="D682" s="8" t="s">
        <v>15</v>
      </c>
      <c r="E682" s="8">
        <v>43.52</v>
      </c>
      <c r="F682" s="8">
        <f ca="1">IFERROR(__xludf.DUMMYFUNCTION("INDEX(GOOGLEFINANCE(A682, ""open"", DATE(2025,2,3), DATE(2025,2,3)), 2, 2)"),43.64)</f>
        <v>43.64</v>
      </c>
      <c r="G682" s="8">
        <f ca="1">IFERROR(__xludf.DUMMYFUNCTION("INDEX(GOOGLEFINANCE(A682, ""close"", DATE(2025,2,7), DATE(2025,2,7)), 2, 2)"),43.71)</f>
        <v>43.71</v>
      </c>
      <c r="H682" s="9">
        <f t="shared" ca="1" si="8"/>
        <v>0.16040329972502354</v>
      </c>
      <c r="I682" s="10">
        <f t="shared" ca="1" si="9"/>
        <v>1.6040329972502354</v>
      </c>
      <c r="J682" s="10" t="str">
        <f t="shared" si="10"/>
        <v>Put Spread</v>
      </c>
      <c r="K682" s="10" t="str">
        <f t="shared" ca="1" si="11"/>
        <v>Success</v>
      </c>
    </row>
    <row r="683" spans="1:11" ht="16">
      <c r="A683" s="1" t="s">
        <v>702</v>
      </c>
      <c r="B683" s="8" t="s">
        <v>14</v>
      </c>
      <c r="C683" s="8">
        <v>92.44</v>
      </c>
      <c r="D683" s="8" t="s">
        <v>15</v>
      </c>
      <c r="E683" s="8">
        <v>87.96</v>
      </c>
      <c r="F683" s="8">
        <f ca="1">IFERROR(__xludf.DUMMYFUNCTION("INDEX(GOOGLEFINANCE(A683, ""open"", DATE(2025,2,3), DATE(2025,2,3)), 2, 2)"),88.4)</f>
        <v>88.4</v>
      </c>
      <c r="G683" s="8">
        <f ca="1">IFERROR(__xludf.DUMMYFUNCTION("INDEX(GOOGLEFINANCE(A683, ""close"", DATE(2025,2,7), DATE(2025,2,7)), 2, 2)"),90.69)</f>
        <v>90.69</v>
      </c>
      <c r="H683" s="9">
        <f t="shared" ca="1" si="8"/>
        <v>2.5904977375565519</v>
      </c>
      <c r="I683" s="10">
        <f t="shared" ca="1" si="9"/>
        <v>25.904977375565519</v>
      </c>
      <c r="J683" s="10" t="str">
        <f t="shared" si="10"/>
        <v>Put Spread</v>
      </c>
      <c r="K683" s="10" t="str">
        <f t="shared" ca="1" si="11"/>
        <v>Success</v>
      </c>
    </row>
    <row r="684" spans="1:11" ht="16">
      <c r="A684" s="1" t="s">
        <v>703</v>
      </c>
      <c r="B684" s="8" t="s">
        <v>14</v>
      </c>
      <c r="C684" s="8">
        <v>31.31</v>
      </c>
      <c r="D684" s="8" t="s">
        <v>15</v>
      </c>
      <c r="E684" s="8">
        <v>26.75</v>
      </c>
      <c r="F684" s="8">
        <f ca="1">IFERROR(__xludf.DUMMYFUNCTION("INDEX(GOOGLEFINANCE(A684, ""open"", DATE(2025,2,3), DATE(2025,2,3)), 2, 2)"),30.5)</f>
        <v>30.5</v>
      </c>
      <c r="G684" s="8">
        <f ca="1">IFERROR(__xludf.DUMMYFUNCTION("INDEX(GOOGLEFINANCE(A684, ""close"", DATE(2025,2,7), DATE(2025,2,7)), 2, 2)"),28.93)</f>
        <v>28.93</v>
      </c>
      <c r="H684" s="9">
        <f t="shared" ca="1" si="8"/>
        <v>-5.1475409836065582</v>
      </c>
      <c r="I684" s="10">
        <f t="shared" ca="1" si="9"/>
        <v>-51.47540983606558</v>
      </c>
      <c r="J684" s="10" t="str">
        <f t="shared" si="10"/>
        <v>Put Spread</v>
      </c>
      <c r="K684" s="10" t="str">
        <f t="shared" ca="1" si="11"/>
        <v>Success</v>
      </c>
    </row>
    <row r="685" spans="1:11" ht="16">
      <c r="A685" s="1" t="s">
        <v>704</v>
      </c>
      <c r="B685" s="8" t="s">
        <v>14</v>
      </c>
      <c r="C685" s="8">
        <v>4.03</v>
      </c>
      <c r="D685" s="8" t="s">
        <v>15</v>
      </c>
      <c r="E685" s="8">
        <v>3.45</v>
      </c>
      <c r="F685" s="8">
        <f ca="1">IFERROR(__xludf.DUMMYFUNCTION("INDEX(GOOGLEFINANCE(A685, ""open"", DATE(2025,2,3), DATE(2025,2,3)), 2, 2)"),3.67)</f>
        <v>3.67</v>
      </c>
      <c r="G685" s="8">
        <f ca="1">IFERROR(__xludf.DUMMYFUNCTION("INDEX(GOOGLEFINANCE(A685, ""close"", DATE(2025,2,7), DATE(2025,2,7)), 2, 2)"),3.61)</f>
        <v>3.61</v>
      </c>
      <c r="H685" s="9">
        <f t="shared" ca="1" si="8"/>
        <v>-1.6348773841961868</v>
      </c>
      <c r="I685" s="10">
        <f t="shared" ca="1" si="9"/>
        <v>-16.348773841961869</v>
      </c>
      <c r="J685" s="10" t="str">
        <f t="shared" si="10"/>
        <v>Put Spread</v>
      </c>
      <c r="K685" s="10" t="str">
        <f t="shared" ca="1" si="11"/>
        <v>Success</v>
      </c>
    </row>
    <row r="686" spans="1:11" ht="16">
      <c r="A686" s="1" t="s">
        <v>705</v>
      </c>
      <c r="B686" s="8" t="s">
        <v>14</v>
      </c>
      <c r="C686" s="8">
        <v>121.31</v>
      </c>
      <c r="D686" s="8" t="s">
        <v>15</v>
      </c>
      <c r="E686" s="8">
        <v>106.13</v>
      </c>
      <c r="F686" s="8">
        <f ca="1">IFERROR(__xludf.DUMMYFUNCTION("INDEX(GOOGLEFINANCE(A686, ""open"", DATE(2025,2,3), DATE(2025,2,3)), 2, 2)"),111.48)</f>
        <v>111.48</v>
      </c>
      <c r="G686" s="8">
        <f ca="1">IFERROR(__xludf.DUMMYFUNCTION("INDEX(GOOGLEFINANCE(A686, ""close"", DATE(2025,2,7), DATE(2025,2,7)), 2, 2)"),111.82)</f>
        <v>111.82</v>
      </c>
      <c r="H686" s="9">
        <f t="shared" ca="1" si="8"/>
        <v>0.30498744169356762</v>
      </c>
      <c r="I686" s="10">
        <f t="shared" ca="1" si="9"/>
        <v>3.0498744169356762</v>
      </c>
      <c r="J686" s="10" t="str">
        <f t="shared" si="10"/>
        <v>Put Spread</v>
      </c>
      <c r="K686" s="10" t="str">
        <f t="shared" ca="1" si="11"/>
        <v>Success</v>
      </c>
    </row>
    <row r="687" spans="1:11" ht="16">
      <c r="A687" s="1" t="s">
        <v>706</v>
      </c>
      <c r="B687" s="8" t="s">
        <v>14</v>
      </c>
      <c r="C687" s="8">
        <v>100.38</v>
      </c>
      <c r="D687" s="8" t="s">
        <v>15</v>
      </c>
      <c r="E687" s="8">
        <v>93.4</v>
      </c>
      <c r="F687" s="8">
        <f ca="1">IFERROR(__xludf.DUMMYFUNCTION("INDEX(GOOGLEFINANCE(A687, ""open"", DATE(2025,2,3), DATE(2025,2,3)), 2, 2)"),93.93)</f>
        <v>93.93</v>
      </c>
      <c r="G687" s="8">
        <f ca="1">IFERROR(__xludf.DUMMYFUNCTION("INDEX(GOOGLEFINANCE(A687, ""close"", DATE(2025,2,7), DATE(2025,2,7)), 2, 2)"),96.44)</f>
        <v>96.44</v>
      </c>
      <c r="H687" s="9">
        <f t="shared" ca="1" si="8"/>
        <v>2.6722027041413718</v>
      </c>
      <c r="I687" s="10">
        <f t="shared" ca="1" si="9"/>
        <v>26.722027041413718</v>
      </c>
      <c r="J687" s="10" t="str">
        <f t="shared" si="10"/>
        <v>Put Spread</v>
      </c>
      <c r="K687" s="10" t="str">
        <f t="shared" ca="1" si="11"/>
        <v>Success</v>
      </c>
    </row>
    <row r="688" spans="1:11" ht="16">
      <c r="A688" s="1" t="s">
        <v>707</v>
      </c>
      <c r="B688" s="8" t="s">
        <v>14</v>
      </c>
      <c r="C688" s="8">
        <v>102.66</v>
      </c>
      <c r="D688" s="8" t="s">
        <v>15</v>
      </c>
      <c r="E688" s="8">
        <v>100.34</v>
      </c>
      <c r="F688" s="8">
        <f ca="1">IFERROR(__xludf.DUMMYFUNCTION("INDEX(GOOGLEFINANCE(A688, ""open"", DATE(2025,2,3), DATE(2025,2,3)), 2, 2)"),101.74)</f>
        <v>101.74</v>
      </c>
      <c r="G688" s="8">
        <f ca="1">IFERROR(__xludf.DUMMYFUNCTION("INDEX(GOOGLEFINANCE(A688, ""close"", DATE(2025,2,7), DATE(2025,2,7)), 2, 2)"),101.56)</f>
        <v>101.56</v>
      </c>
      <c r="H688" s="9">
        <f t="shared" ca="1" si="8"/>
        <v>-0.17692156477294341</v>
      </c>
      <c r="I688" s="10">
        <f t="shared" ca="1" si="9"/>
        <v>-1.7692156477294341</v>
      </c>
      <c r="J688" s="10" t="str">
        <f t="shared" si="10"/>
        <v>Put Spread</v>
      </c>
      <c r="K688" s="10" t="str">
        <f t="shared" ca="1" si="11"/>
        <v>Success</v>
      </c>
    </row>
    <row r="689" spans="1:11" ht="16">
      <c r="A689" s="1" t="s">
        <v>708</v>
      </c>
      <c r="B689" s="8" t="s">
        <v>38</v>
      </c>
      <c r="C689" s="8">
        <v>12.45</v>
      </c>
      <c r="D689" s="8" t="s">
        <v>39</v>
      </c>
      <c r="E689" s="8">
        <v>13.81</v>
      </c>
      <c r="F689" s="8">
        <f ca="1">IFERROR(__xludf.DUMMYFUNCTION("INDEX(GOOGLEFINANCE(A689, ""open"", DATE(2025,2,3), DATE(2025,2,3)), 2, 2)"),12.52)</f>
        <v>12.52</v>
      </c>
      <c r="G689" s="8">
        <f ca="1">IFERROR(__xludf.DUMMYFUNCTION("INDEX(GOOGLEFINANCE(A689, ""close"", DATE(2025,2,7), DATE(2025,2,7)), 2, 2)"),12.94)</f>
        <v>12.94</v>
      </c>
      <c r="H689" s="9">
        <f t="shared" ca="1" si="8"/>
        <v>-3.3546325878594248</v>
      </c>
      <c r="I689" s="10">
        <f t="shared" ca="1" si="9"/>
        <v>-33.546325878594246</v>
      </c>
      <c r="J689" s="10" t="str">
        <f t="shared" si="10"/>
        <v>Call Spread</v>
      </c>
      <c r="K689" s="10" t="str">
        <f t="shared" ca="1" si="11"/>
        <v>Success</v>
      </c>
    </row>
    <row r="690" spans="1:11" ht="16">
      <c r="A690" s="1" t="s">
        <v>709</v>
      </c>
      <c r="B690" s="8" t="s">
        <v>14</v>
      </c>
      <c r="C690" s="8">
        <v>12.36</v>
      </c>
      <c r="D690" s="8" t="s">
        <v>15</v>
      </c>
      <c r="E690" s="8">
        <v>5.98</v>
      </c>
      <c r="F690" s="8">
        <f ca="1">IFERROR(__xludf.DUMMYFUNCTION("INDEX(GOOGLEFINANCE(A690, ""open"", DATE(2025,2,3), DATE(2025,2,3)), 2, 2)"),8.86)</f>
        <v>8.86</v>
      </c>
      <c r="G690" s="8">
        <f ca="1">IFERROR(__xludf.DUMMYFUNCTION("INDEX(GOOGLEFINANCE(A690, ""close"", DATE(2025,2,7), DATE(2025,2,7)), 2, 2)"),9.14)</f>
        <v>9.14</v>
      </c>
      <c r="H690" s="9">
        <f t="shared" ca="1" si="8"/>
        <v>3.1602708803611872</v>
      </c>
      <c r="I690" s="10">
        <f t="shared" ca="1" si="9"/>
        <v>31.602708803611872</v>
      </c>
      <c r="J690" s="10" t="str">
        <f t="shared" si="10"/>
        <v>Put Spread</v>
      </c>
      <c r="K690" s="10" t="str">
        <f t="shared" ca="1" si="11"/>
        <v>Success</v>
      </c>
    </row>
    <row r="691" spans="1:11" ht="16">
      <c r="A691" s="1" t="s">
        <v>710</v>
      </c>
      <c r="B691" s="8" t="s">
        <v>38</v>
      </c>
      <c r="C691" s="8">
        <v>44.37</v>
      </c>
      <c r="D691" s="8" t="s">
        <v>39</v>
      </c>
      <c r="E691" s="8">
        <v>50.87</v>
      </c>
      <c r="F691" s="8">
        <f ca="1">IFERROR(__xludf.DUMMYFUNCTION("INDEX(GOOGLEFINANCE(A691, ""open"", DATE(2025,2,3), DATE(2025,2,3)), 2, 2)"),47.41)</f>
        <v>47.41</v>
      </c>
      <c r="G691" s="8">
        <f ca="1">IFERROR(__xludf.DUMMYFUNCTION("INDEX(GOOGLEFINANCE(A691, ""close"", DATE(2025,2,7), DATE(2025,2,7)), 2, 2)"),47.09)</f>
        <v>47.09</v>
      </c>
      <c r="H691" s="9">
        <f t="shared" ca="1" si="8"/>
        <v>0.67496308795611304</v>
      </c>
      <c r="I691" s="10">
        <f t="shared" ca="1" si="9"/>
        <v>6.7496308795611295</v>
      </c>
      <c r="J691" s="10" t="str">
        <f t="shared" si="10"/>
        <v>Call Spread</v>
      </c>
      <c r="K691" s="10" t="str">
        <f t="shared" ca="1" si="11"/>
        <v>Success</v>
      </c>
    </row>
    <row r="692" spans="1:11" ht="16">
      <c r="A692" s="1" t="s">
        <v>711</v>
      </c>
      <c r="B692" s="8" t="s">
        <v>38</v>
      </c>
      <c r="C692" s="8">
        <v>91.83</v>
      </c>
      <c r="D692" s="8" t="s">
        <v>39</v>
      </c>
      <c r="E692" s="8">
        <v>100.89</v>
      </c>
      <c r="F692" s="8">
        <f ca="1">IFERROR(__xludf.DUMMYFUNCTION("INDEX(GOOGLEFINANCE(A692, ""open"", DATE(2025,2,3), DATE(2025,2,3)), 2, 2)"),94.6)</f>
        <v>94.6</v>
      </c>
      <c r="G692" s="8">
        <f ca="1">IFERROR(__xludf.DUMMYFUNCTION("INDEX(GOOGLEFINANCE(A692, ""close"", DATE(2025,2,7), DATE(2025,2,7)), 2, 2)"),96.15)</f>
        <v>96.15</v>
      </c>
      <c r="H692" s="9">
        <f t="shared" ca="1" si="8"/>
        <v>-1.6384778012685108</v>
      </c>
      <c r="I692" s="10">
        <f t="shared" ca="1" si="9"/>
        <v>-16.384778012685107</v>
      </c>
      <c r="J692" s="10" t="str">
        <f t="shared" si="10"/>
        <v>Call Spread</v>
      </c>
      <c r="K692" s="10" t="str">
        <f t="shared" ca="1" si="11"/>
        <v>Success</v>
      </c>
    </row>
    <row r="693" spans="1:11" ht="16">
      <c r="A693" s="1" t="s">
        <v>712</v>
      </c>
      <c r="B693" s="8" t="s">
        <v>14</v>
      </c>
      <c r="C693" s="8">
        <v>27.64</v>
      </c>
      <c r="D693" s="8" t="s">
        <v>15</v>
      </c>
      <c r="E693" s="8">
        <v>23.12</v>
      </c>
      <c r="F693" s="8">
        <f ca="1">IFERROR(__xludf.DUMMYFUNCTION("INDEX(GOOGLEFINANCE(A693, ""open"", DATE(2025,2,3), DATE(2025,2,3)), 2, 2)"),23.9)</f>
        <v>23.9</v>
      </c>
      <c r="G693" s="8">
        <f ca="1">IFERROR(__xludf.DUMMYFUNCTION("INDEX(GOOGLEFINANCE(A693, ""close"", DATE(2025,2,7), DATE(2025,2,7)), 2, 2)"),25.49)</f>
        <v>25.49</v>
      </c>
      <c r="H693" s="9">
        <f t="shared" ca="1" si="8"/>
        <v>6.6527196652719667</v>
      </c>
      <c r="I693" s="10">
        <f t="shared" ca="1" si="9"/>
        <v>66.527196652719667</v>
      </c>
      <c r="J693" s="10" t="str">
        <f t="shared" si="10"/>
        <v>Put Spread</v>
      </c>
      <c r="K693" s="10" t="str">
        <f t="shared" ca="1" si="11"/>
        <v>Success</v>
      </c>
    </row>
    <row r="694" spans="1:11" ht="16">
      <c r="A694" s="1" t="s">
        <v>713</v>
      </c>
      <c r="B694" s="8" t="s">
        <v>14</v>
      </c>
      <c r="C694" s="8">
        <v>53.47</v>
      </c>
      <c r="D694" s="8" t="s">
        <v>15</v>
      </c>
      <c r="E694" s="8">
        <v>47.73</v>
      </c>
      <c r="F694" s="8">
        <f ca="1">IFERROR(__xludf.DUMMYFUNCTION("INDEX(GOOGLEFINANCE(A694, ""open"", DATE(2025,2,3), DATE(2025,2,3)), 2, 2)"),48.83)</f>
        <v>48.83</v>
      </c>
      <c r="G694" s="8">
        <f ca="1">IFERROR(__xludf.DUMMYFUNCTION("INDEX(GOOGLEFINANCE(A694, ""close"", DATE(2025,2,7), DATE(2025,2,7)), 2, 2)"),50.62)</f>
        <v>50.62</v>
      </c>
      <c r="H694" s="9">
        <f t="shared" ca="1" si="8"/>
        <v>3.6657792340774096</v>
      </c>
      <c r="I694" s="10">
        <f t="shared" ca="1" si="9"/>
        <v>36.657792340774094</v>
      </c>
      <c r="J694" s="10" t="str">
        <f t="shared" si="10"/>
        <v>Put Spread</v>
      </c>
      <c r="K694" s="10" t="str">
        <f t="shared" ca="1" si="11"/>
        <v>Success</v>
      </c>
    </row>
    <row r="695" spans="1:11" ht="16">
      <c r="A695" s="1" t="s">
        <v>714</v>
      </c>
      <c r="B695" s="8" t="s">
        <v>14</v>
      </c>
      <c r="C695" s="8">
        <v>33.049999999999997</v>
      </c>
      <c r="D695" s="8" t="s">
        <v>15</v>
      </c>
      <c r="E695" s="8">
        <v>25.65</v>
      </c>
      <c r="F695" s="8">
        <f ca="1">IFERROR(__xludf.DUMMYFUNCTION("INDEX(GOOGLEFINANCE(A695, ""open"", DATE(2025,2,3), DATE(2025,2,3)), 2, 2)"),27.59)</f>
        <v>27.59</v>
      </c>
      <c r="G695" s="8">
        <f ca="1">IFERROR(__xludf.DUMMYFUNCTION("INDEX(GOOGLEFINANCE(A695, ""close"", DATE(2025,2,7), DATE(2025,2,7)), 2, 2)"),26.37)</f>
        <v>26.37</v>
      </c>
      <c r="H695" s="9">
        <f t="shared" ca="1" si="8"/>
        <v>-4.4218919898513915</v>
      </c>
      <c r="I695" s="10">
        <f t="shared" ca="1" si="9"/>
        <v>-44.218919898513917</v>
      </c>
      <c r="J695" s="10" t="str">
        <f t="shared" si="10"/>
        <v>Put Spread</v>
      </c>
      <c r="K695" s="10" t="str">
        <f t="shared" ca="1" si="11"/>
        <v>Success</v>
      </c>
    </row>
    <row r="696" spans="1:11" ht="16">
      <c r="A696" s="1" t="s">
        <v>715</v>
      </c>
      <c r="B696" s="8" t="s">
        <v>14</v>
      </c>
      <c r="C696" s="8">
        <v>24.32</v>
      </c>
      <c r="D696" s="8" t="s">
        <v>15</v>
      </c>
      <c r="E696" s="8">
        <v>23.14</v>
      </c>
      <c r="F696" s="8">
        <f ca="1">IFERROR(__xludf.DUMMYFUNCTION("INDEX(GOOGLEFINANCE(A696, ""open"", DATE(2025,2,3), DATE(2025,2,3)), 2, 2)"),23.69)</f>
        <v>23.69</v>
      </c>
      <c r="G696" s="8">
        <f ca="1">IFERROR(__xludf.DUMMYFUNCTION("INDEX(GOOGLEFINANCE(A696, ""close"", DATE(2025,2,7), DATE(2025,2,7)), 2, 2)"),24.54)</f>
        <v>24.54</v>
      </c>
      <c r="H696" s="9">
        <f t="shared" ca="1" si="8"/>
        <v>3.588011819333043</v>
      </c>
      <c r="I696" s="10">
        <f t="shared" ca="1" si="9"/>
        <v>35.880118193330432</v>
      </c>
      <c r="J696" s="10" t="str">
        <f t="shared" si="10"/>
        <v>Put Spread</v>
      </c>
      <c r="K696" s="10" t="str">
        <f t="shared" ca="1" si="11"/>
        <v>Success</v>
      </c>
    </row>
    <row r="697" spans="1:11" ht="16">
      <c r="A697" s="1" t="s">
        <v>716</v>
      </c>
      <c r="B697" s="8" t="s">
        <v>14</v>
      </c>
      <c r="C697" s="8">
        <v>13.02</v>
      </c>
      <c r="D697" s="8" t="s">
        <v>15</v>
      </c>
      <c r="E697" s="8">
        <v>11.44</v>
      </c>
      <c r="F697" s="8">
        <f ca="1">IFERROR(__xludf.DUMMYFUNCTION("INDEX(GOOGLEFINANCE(A697, ""open"", DATE(2025,2,3), DATE(2025,2,3)), 2, 2)"),11.92)</f>
        <v>11.92</v>
      </c>
      <c r="G697" s="8">
        <f ca="1">IFERROR(__xludf.DUMMYFUNCTION("INDEX(GOOGLEFINANCE(A697, ""close"", DATE(2025,2,7), DATE(2025,2,7)), 2, 2)"),13.18)</f>
        <v>13.18</v>
      </c>
      <c r="H697" s="9">
        <f t="shared" ca="1" si="8"/>
        <v>10.570469798657717</v>
      </c>
      <c r="I697" s="10">
        <f t="shared" ca="1" si="9"/>
        <v>105.70469798657717</v>
      </c>
      <c r="J697" s="10" t="str">
        <f t="shared" si="10"/>
        <v>Put Spread</v>
      </c>
      <c r="K697" s="10" t="str">
        <f t="shared" ca="1" si="11"/>
        <v>Success</v>
      </c>
    </row>
    <row r="698" spans="1:11" ht="16">
      <c r="A698" s="1" t="s">
        <v>717</v>
      </c>
      <c r="B698" s="8" t="s">
        <v>14</v>
      </c>
      <c r="C698" s="8">
        <v>35.520000000000003</v>
      </c>
      <c r="D698" s="8" t="s">
        <v>15</v>
      </c>
      <c r="E698" s="8">
        <v>32.08</v>
      </c>
      <c r="F698" s="8">
        <f ca="1">IFERROR(__xludf.DUMMYFUNCTION("INDEX(GOOGLEFINANCE(A698, ""open"", DATE(2025,2,3), DATE(2025,2,3)), 2, 2)"),32.69)</f>
        <v>32.69</v>
      </c>
      <c r="G698" s="8">
        <f ca="1">IFERROR(__xludf.DUMMYFUNCTION("INDEX(GOOGLEFINANCE(A698, ""close"", DATE(2025,2,7), DATE(2025,2,7)), 2, 2)"),34.36)</f>
        <v>34.36</v>
      </c>
      <c r="H698" s="9">
        <f t="shared" ca="1" si="8"/>
        <v>5.1085959008871269</v>
      </c>
      <c r="I698" s="10">
        <f t="shared" ca="1" si="9"/>
        <v>51.085959008871271</v>
      </c>
      <c r="J698" s="10" t="str">
        <f t="shared" si="10"/>
        <v>Put Spread</v>
      </c>
      <c r="K698" s="10" t="str">
        <f t="shared" ca="1" si="11"/>
        <v>Success</v>
      </c>
    </row>
    <row r="699" spans="1:11" ht="16">
      <c r="A699" s="1" t="s">
        <v>718</v>
      </c>
      <c r="B699" s="8" t="s">
        <v>14</v>
      </c>
      <c r="C699" s="8">
        <v>56.78</v>
      </c>
      <c r="D699" s="8" t="s">
        <v>15</v>
      </c>
      <c r="E699" s="8">
        <v>52.72</v>
      </c>
      <c r="F699" s="8">
        <f ca="1">IFERROR(__xludf.DUMMYFUNCTION("INDEX(GOOGLEFINANCE(A699, ""open"", DATE(2025,2,3), DATE(2025,2,3)), 2, 2)"),53.59)</f>
        <v>53.59</v>
      </c>
      <c r="G699" s="8">
        <f ca="1">IFERROR(__xludf.DUMMYFUNCTION("INDEX(GOOGLEFINANCE(A699, ""close"", DATE(2025,2,7), DATE(2025,2,7)), 2, 2)"),54.26)</f>
        <v>54.26</v>
      </c>
      <c r="H699" s="9">
        <f t="shared" ca="1" si="8"/>
        <v>1.2502332524724662</v>
      </c>
      <c r="I699" s="10">
        <f t="shared" ca="1" si="9"/>
        <v>12.502332524724661</v>
      </c>
      <c r="J699" s="10" t="str">
        <f t="shared" si="10"/>
        <v>Put Spread</v>
      </c>
      <c r="K699" s="10" t="str">
        <f t="shared" ca="1" si="11"/>
        <v>Success</v>
      </c>
    </row>
    <row r="700" spans="1:11" ht="16">
      <c r="A700" s="1" t="s">
        <v>719</v>
      </c>
      <c r="B700" s="8" t="s">
        <v>14</v>
      </c>
      <c r="C700" s="8">
        <v>37.94</v>
      </c>
      <c r="D700" s="8" t="s">
        <v>15</v>
      </c>
      <c r="E700" s="8">
        <v>35.04</v>
      </c>
      <c r="F700" s="8">
        <f ca="1">IFERROR(__xludf.DUMMYFUNCTION("INDEX(GOOGLEFINANCE(A700, ""open"", DATE(2025,2,3), DATE(2025,2,3)), 2, 2)"),35.63)</f>
        <v>35.630000000000003</v>
      </c>
      <c r="G700" s="8">
        <f ca="1">IFERROR(__xludf.DUMMYFUNCTION("INDEX(GOOGLEFINANCE(A700, ""close"", DATE(2025,2,7), DATE(2025,2,7)), 2, 2)"),35.14)</f>
        <v>35.14</v>
      </c>
      <c r="H700" s="9">
        <f t="shared" ca="1" si="8"/>
        <v>-1.3752455795677854</v>
      </c>
      <c r="I700" s="10">
        <f t="shared" ca="1" si="9"/>
        <v>-13.752455795677854</v>
      </c>
      <c r="J700" s="10" t="str">
        <f t="shared" si="10"/>
        <v>Put Spread</v>
      </c>
      <c r="K700" s="10" t="str">
        <f t="shared" ca="1" si="11"/>
        <v>Success</v>
      </c>
    </row>
    <row r="701" spans="1:11" ht="16">
      <c r="A701" s="1" t="s">
        <v>720</v>
      </c>
      <c r="B701" s="8" t="s">
        <v>14</v>
      </c>
      <c r="C701" s="8">
        <v>11.01</v>
      </c>
      <c r="D701" s="8" t="s">
        <v>15</v>
      </c>
      <c r="E701" s="8">
        <v>9.31</v>
      </c>
      <c r="F701" s="8">
        <f ca="1">IFERROR(__xludf.DUMMYFUNCTION("INDEX(GOOGLEFINANCE(A701, ""open"", DATE(2025,2,3), DATE(2025,2,3)), 2, 2)"),9.79)</f>
        <v>9.7899999999999991</v>
      </c>
      <c r="G701" s="8">
        <f ca="1">IFERROR(__xludf.DUMMYFUNCTION("INDEX(GOOGLEFINANCE(A701, ""close"", DATE(2025,2,7), DATE(2025,2,7)), 2, 2)"),12.95)</f>
        <v>12.95</v>
      </c>
      <c r="H701" s="9">
        <f t="shared" ca="1" si="8"/>
        <v>32.27783452502554</v>
      </c>
      <c r="I701" s="10">
        <f t="shared" ca="1" si="9"/>
        <v>322.77834525025543</v>
      </c>
      <c r="J701" s="10" t="str">
        <f t="shared" si="10"/>
        <v>Put Spread</v>
      </c>
      <c r="K701" s="10" t="str">
        <f t="shared" ca="1" si="11"/>
        <v>Success</v>
      </c>
    </row>
    <row r="702" spans="1:11" ht="16">
      <c r="A702" s="1" t="s">
        <v>721</v>
      </c>
      <c r="B702" s="8" t="s">
        <v>14</v>
      </c>
      <c r="C702" s="8">
        <v>59.66</v>
      </c>
      <c r="D702" s="8" t="s">
        <v>15</v>
      </c>
      <c r="E702" s="8">
        <v>50.56</v>
      </c>
      <c r="F702" s="8">
        <f ca="1">IFERROR(__xludf.DUMMYFUNCTION("INDEX(GOOGLEFINANCE(A702, ""open"", DATE(2025,2,3), DATE(2025,2,3)), 2, 2)"),54.17)</f>
        <v>54.17</v>
      </c>
      <c r="G702" s="8">
        <f ca="1">IFERROR(__xludf.DUMMYFUNCTION("INDEX(GOOGLEFINANCE(A702, ""close"", DATE(2025,2,7), DATE(2025,2,7)), 2, 2)"),53.75)</f>
        <v>53.75</v>
      </c>
      <c r="H702" s="9">
        <f t="shared" ca="1" si="8"/>
        <v>-0.77533690234447428</v>
      </c>
      <c r="I702" s="10">
        <f t="shared" ca="1" si="9"/>
        <v>-7.7533690234447432</v>
      </c>
      <c r="J702" s="10" t="str">
        <f t="shared" si="10"/>
        <v>Put Spread</v>
      </c>
      <c r="K702" s="10" t="str">
        <f t="shared" ca="1" si="11"/>
        <v>Success</v>
      </c>
    </row>
    <row r="703" spans="1:11" ht="16">
      <c r="A703" s="1" t="s">
        <v>722</v>
      </c>
      <c r="B703" s="8" t="s">
        <v>14</v>
      </c>
      <c r="C703" s="8">
        <v>323.56</v>
      </c>
      <c r="D703" s="8" t="s">
        <v>15</v>
      </c>
      <c r="E703" s="8">
        <v>290</v>
      </c>
      <c r="F703" s="8">
        <f ca="1">IFERROR(__xludf.DUMMYFUNCTION("INDEX(GOOGLEFINANCE(A703, ""open"", DATE(2025,2,3), DATE(2025,2,3)), 2, 2)"),299.11)</f>
        <v>299.11</v>
      </c>
      <c r="G703" s="8">
        <f ca="1">IFERROR(__xludf.DUMMYFUNCTION("INDEX(GOOGLEFINANCE(A703, ""close"", DATE(2025,2,7), DATE(2025,2,7)), 2, 2)"),314.28)</f>
        <v>314.27999999999997</v>
      </c>
      <c r="H703" s="9">
        <f t="shared" ca="1" si="8"/>
        <v>5.0717127478185144</v>
      </c>
      <c r="I703" s="10">
        <f t="shared" ca="1" si="9"/>
        <v>50.717127478185148</v>
      </c>
      <c r="J703" s="10" t="str">
        <f t="shared" si="10"/>
        <v>Put Spread</v>
      </c>
      <c r="K703" s="10" t="str">
        <f t="shared" ca="1" si="11"/>
        <v>Success</v>
      </c>
    </row>
    <row r="704" spans="1:11" ht="16">
      <c r="A704" s="1" t="s">
        <v>723</v>
      </c>
      <c r="B704" s="8" t="s">
        <v>14</v>
      </c>
      <c r="C704" s="8">
        <v>94.26</v>
      </c>
      <c r="D704" s="8" t="s">
        <v>15</v>
      </c>
      <c r="E704" s="8">
        <v>77.760000000000005</v>
      </c>
      <c r="F704" s="8">
        <f ca="1">IFERROR(__xludf.DUMMYFUNCTION("INDEX(GOOGLEFINANCE(A704, ""open"", DATE(2025,2,3), DATE(2025,2,3)), 2, 2)"),80.32)</f>
        <v>80.319999999999993</v>
      </c>
      <c r="G704" s="8">
        <f ca="1">IFERROR(__xludf.DUMMYFUNCTION("INDEX(GOOGLEFINANCE(A704, ""close"", DATE(2025,2,7), DATE(2025,2,7)), 2, 2)"),87.85)</f>
        <v>87.85</v>
      </c>
      <c r="H704" s="9">
        <f t="shared" ca="1" si="8"/>
        <v>9.3750000000000036</v>
      </c>
      <c r="I704" s="10">
        <f t="shared" ca="1" si="9"/>
        <v>93.750000000000043</v>
      </c>
      <c r="J704" s="10" t="str">
        <f t="shared" si="10"/>
        <v>Put Spread</v>
      </c>
      <c r="K704" s="10" t="str">
        <f t="shared" ca="1" si="11"/>
        <v>Success</v>
      </c>
    </row>
    <row r="705" spans="1:11" ht="16">
      <c r="A705" s="1" t="s">
        <v>724</v>
      </c>
      <c r="B705" s="8" t="s">
        <v>14</v>
      </c>
      <c r="C705" s="8">
        <v>53.34</v>
      </c>
      <c r="D705" s="8" t="s">
        <v>15</v>
      </c>
      <c r="E705" s="8">
        <v>42.22</v>
      </c>
      <c r="F705" s="8">
        <f ca="1">IFERROR(__xludf.DUMMYFUNCTION("INDEX(GOOGLEFINANCE(A705, ""open"", DATE(2025,2,3), DATE(2025,2,3)), 2, 2)"),50.7)</f>
        <v>50.7</v>
      </c>
      <c r="G705" s="8">
        <f ca="1">IFERROR(__xludf.DUMMYFUNCTION("INDEX(GOOGLEFINANCE(A705, ""close"", DATE(2025,2,7), DATE(2025,2,7)), 2, 2)"),46.54)</f>
        <v>46.54</v>
      </c>
      <c r="H705" s="9">
        <f t="shared" ca="1" si="8"/>
        <v>-8.2051282051282115</v>
      </c>
      <c r="I705" s="10">
        <f t="shared" ca="1" si="9"/>
        <v>-82.051282051282129</v>
      </c>
      <c r="J705" s="10" t="str">
        <f t="shared" si="10"/>
        <v>Put Spread</v>
      </c>
      <c r="K705" s="10" t="str">
        <f t="shared" ca="1" si="11"/>
        <v>Success</v>
      </c>
    </row>
    <row r="706" spans="1:11" ht="16">
      <c r="A706" s="1" t="s">
        <v>725</v>
      </c>
      <c r="B706" s="8" t="s">
        <v>14</v>
      </c>
      <c r="C706" s="8">
        <v>18.350000000000001</v>
      </c>
      <c r="D706" s="8" t="s">
        <v>15</v>
      </c>
      <c r="E706" s="8">
        <v>17.11</v>
      </c>
      <c r="F706" s="8">
        <f ca="1">IFERROR(__xludf.DUMMYFUNCTION("INDEX(GOOGLEFINANCE(A706, ""open"", DATE(2025,2,3), DATE(2025,2,3)), 2, 2)"),17.63)</f>
        <v>17.63</v>
      </c>
      <c r="G706" s="8">
        <f ca="1">IFERROR(__xludf.DUMMYFUNCTION("INDEX(GOOGLEFINANCE(A706, ""close"", DATE(2025,2,7), DATE(2025,2,7)), 2, 2)"),16.83)</f>
        <v>16.829999999999998</v>
      </c>
      <c r="H706" s="9">
        <f t="shared" ca="1" si="8"/>
        <v>-4.5377197958026132</v>
      </c>
      <c r="I706" s="10">
        <f t="shared" ca="1" si="9"/>
        <v>-45.377197958026137</v>
      </c>
      <c r="J706" s="10" t="str">
        <f t="shared" si="10"/>
        <v>Put Spread</v>
      </c>
      <c r="K706" s="10" t="str">
        <f t="shared" ca="1" si="11"/>
        <v>No</v>
      </c>
    </row>
    <row r="707" spans="1:11" ht="16">
      <c r="A707" s="1" t="s">
        <v>726</v>
      </c>
      <c r="B707" s="8" t="s">
        <v>14</v>
      </c>
      <c r="C707" s="8">
        <v>49.08</v>
      </c>
      <c r="D707" s="8" t="s">
        <v>15</v>
      </c>
      <c r="E707" s="8">
        <v>46.16</v>
      </c>
      <c r="F707" s="8">
        <f ca="1">IFERROR(__xludf.DUMMYFUNCTION("INDEX(GOOGLEFINANCE(A707, ""open"", DATE(2025,2,3), DATE(2025,2,3)), 2, 2)"),46.65)</f>
        <v>46.65</v>
      </c>
      <c r="G707" s="8">
        <f ca="1">IFERROR(__xludf.DUMMYFUNCTION("INDEX(GOOGLEFINANCE(A707, ""close"", DATE(2025,2,7), DATE(2025,2,7)), 2, 2)"),47.68)</f>
        <v>47.68</v>
      </c>
      <c r="H707" s="9">
        <f t="shared" ca="1" si="8"/>
        <v>2.2079314040728857</v>
      </c>
      <c r="I707" s="10">
        <f t="shared" ca="1" si="9"/>
        <v>22.079314040728853</v>
      </c>
      <c r="J707" s="10" t="str">
        <f t="shared" si="10"/>
        <v>Put Spread</v>
      </c>
      <c r="K707" s="10" t="str">
        <f t="shared" ca="1" si="11"/>
        <v>Success</v>
      </c>
    </row>
    <row r="708" spans="1:11" ht="16">
      <c r="A708" s="1" t="s">
        <v>727</v>
      </c>
      <c r="B708" s="8" t="s">
        <v>38</v>
      </c>
      <c r="C708" s="8">
        <v>15.27</v>
      </c>
      <c r="D708" s="8" t="s">
        <v>39</v>
      </c>
      <c r="E708" s="8">
        <v>16.79</v>
      </c>
      <c r="F708" s="8">
        <f ca="1">IFERROR(__xludf.DUMMYFUNCTION("INDEX(GOOGLEFINANCE(A708, ""open"", DATE(2025,2,3), DATE(2025,2,3)), 2, 2)"),15.98)</f>
        <v>15.98</v>
      </c>
      <c r="G708" s="8">
        <f ca="1">IFERROR(__xludf.DUMMYFUNCTION("INDEX(GOOGLEFINANCE(A708, ""close"", DATE(2025,2,7), DATE(2025,2,7)), 2, 2)"),16.41)</f>
        <v>16.41</v>
      </c>
      <c r="H708" s="9">
        <f t="shared" ca="1" si="8"/>
        <v>-2.6908635794743412</v>
      </c>
      <c r="I708" s="10">
        <f t="shared" ca="1" si="9"/>
        <v>-26.908635794743414</v>
      </c>
      <c r="J708" s="10" t="str">
        <f t="shared" si="10"/>
        <v>Call Spread</v>
      </c>
      <c r="K708" s="10" t="str">
        <f t="shared" ca="1" si="11"/>
        <v>Success</v>
      </c>
    </row>
    <row r="709" spans="1:11" ht="16">
      <c r="A709" s="1" t="s">
        <v>728</v>
      </c>
      <c r="B709" s="8" t="s">
        <v>14</v>
      </c>
      <c r="C709" s="8">
        <v>81.53</v>
      </c>
      <c r="D709" s="8" t="s">
        <v>15</v>
      </c>
      <c r="E709" s="8">
        <v>70.47</v>
      </c>
      <c r="F709" s="8">
        <f ca="1">IFERROR(__xludf.DUMMYFUNCTION("INDEX(GOOGLEFINANCE(A709, ""open"", DATE(2025,2,3), DATE(2025,2,3)), 2, 2)"),73.8)</f>
        <v>73.8</v>
      </c>
      <c r="G709" s="8">
        <f ca="1">IFERROR(__xludf.DUMMYFUNCTION("INDEX(GOOGLEFINANCE(A709, ""close"", DATE(2025,2,7), DATE(2025,2,7)), 2, 2)"),77.49)</f>
        <v>77.489999999999995</v>
      </c>
      <c r="H709" s="9">
        <f t="shared" ca="1" si="8"/>
        <v>4.9999999999999964</v>
      </c>
      <c r="I709" s="10">
        <f t="shared" ca="1" si="9"/>
        <v>49.999999999999964</v>
      </c>
      <c r="J709" s="10" t="str">
        <f t="shared" si="10"/>
        <v>Put Spread</v>
      </c>
      <c r="K709" s="10" t="str">
        <f t="shared" ca="1" si="11"/>
        <v>Success</v>
      </c>
    </row>
    <row r="710" spans="1:11" ht="16">
      <c r="A710" s="1" t="s">
        <v>729</v>
      </c>
      <c r="B710" s="8" t="s">
        <v>14</v>
      </c>
      <c r="C710" s="8">
        <v>144.94</v>
      </c>
      <c r="D710" s="8" t="s">
        <v>15</v>
      </c>
      <c r="E710" s="8">
        <v>130.88</v>
      </c>
      <c r="F710" s="8">
        <f ca="1">IFERROR(__xludf.DUMMYFUNCTION("INDEX(GOOGLEFINANCE(A710, ""open"", DATE(2025,2,3), DATE(2025,2,3)), 2, 2)"),134.58)</f>
        <v>134.58000000000001</v>
      </c>
      <c r="G710" s="8">
        <f ca="1">IFERROR(__xludf.DUMMYFUNCTION("INDEX(GOOGLEFINANCE(A710, ""close"", DATE(2025,2,7), DATE(2025,2,7)), 2, 2)"),131.35)</f>
        <v>131.35</v>
      </c>
      <c r="H710" s="9">
        <f t="shared" ca="1" si="8"/>
        <v>-2.4000594441967738</v>
      </c>
      <c r="I710" s="10">
        <f t="shared" ca="1" si="9"/>
        <v>-24.000594441967738</v>
      </c>
      <c r="J710" s="10" t="str">
        <f t="shared" si="10"/>
        <v>Put Spread</v>
      </c>
      <c r="K710" s="10" t="str">
        <f t="shared" ca="1" si="11"/>
        <v>Success</v>
      </c>
    </row>
    <row r="711" spans="1:11" ht="16">
      <c r="A711" s="1" t="s">
        <v>730</v>
      </c>
      <c r="B711" s="8" t="s">
        <v>14</v>
      </c>
      <c r="C711" s="8">
        <v>35.44</v>
      </c>
      <c r="D711" s="8" t="s">
        <v>15</v>
      </c>
      <c r="E711" s="8">
        <v>27.96</v>
      </c>
      <c r="F711" s="8">
        <f ca="1">IFERROR(__xludf.DUMMYFUNCTION("INDEX(GOOGLEFINANCE(A711, ""open"", DATE(2025,2,3), DATE(2025,2,3)), 2, 2)"),30.78)</f>
        <v>30.78</v>
      </c>
      <c r="G711" s="8">
        <f ca="1">IFERROR(__xludf.DUMMYFUNCTION("INDEX(GOOGLEFINANCE(A711, ""close"", DATE(2025,2,7), DATE(2025,2,7)), 2, 2)"),33.09)</f>
        <v>33.090000000000003</v>
      </c>
      <c r="H711" s="9">
        <f t="shared" ca="1" si="8"/>
        <v>7.5048732943469849</v>
      </c>
      <c r="I711" s="10">
        <f t="shared" ca="1" si="9"/>
        <v>75.048732943469844</v>
      </c>
      <c r="J711" s="10" t="str">
        <f t="shared" si="10"/>
        <v>Put Spread</v>
      </c>
      <c r="K711" s="10" t="str">
        <f t="shared" ca="1" si="11"/>
        <v>Success</v>
      </c>
    </row>
    <row r="712" spans="1:11" ht="16">
      <c r="A712" s="1" t="s">
        <v>731</v>
      </c>
      <c r="B712" s="8" t="s">
        <v>14</v>
      </c>
      <c r="C712" s="8">
        <v>8.4700000000000006</v>
      </c>
      <c r="D712" s="8" t="s">
        <v>15</v>
      </c>
      <c r="E712" s="8">
        <v>5.63</v>
      </c>
      <c r="F712" s="8">
        <f ca="1">IFERROR(__xludf.DUMMYFUNCTION("INDEX(GOOGLEFINANCE(A712, ""open"", DATE(2025,2,3), DATE(2025,2,3)), 2, 2)"),6.8)</f>
        <v>6.8</v>
      </c>
      <c r="G712" s="8">
        <f ca="1">IFERROR(__xludf.DUMMYFUNCTION("INDEX(GOOGLEFINANCE(A712, ""close"", DATE(2025,2,7), DATE(2025,2,7)), 2, 2)"),7.73)</f>
        <v>7.73</v>
      </c>
      <c r="H712" s="9">
        <f t="shared" ca="1" si="8"/>
        <v>13.676470588235304</v>
      </c>
      <c r="I712" s="10">
        <f t="shared" ca="1" si="9"/>
        <v>136.76470588235304</v>
      </c>
      <c r="J712" s="10" t="str">
        <f t="shared" si="10"/>
        <v>Put Spread</v>
      </c>
      <c r="K712" s="10" t="str">
        <f t="shared" ca="1" si="11"/>
        <v>Success</v>
      </c>
    </row>
    <row r="713" spans="1:11" ht="16">
      <c r="A713" s="1" t="s">
        <v>732</v>
      </c>
      <c r="B713" s="8" t="s">
        <v>14</v>
      </c>
      <c r="C713" s="8">
        <v>108.84</v>
      </c>
      <c r="D713" s="8" t="s">
        <v>15</v>
      </c>
      <c r="E713" s="8">
        <v>107.18</v>
      </c>
      <c r="F713" s="8">
        <f ca="1">IFERROR(__xludf.DUMMYFUNCTION("INDEX(GOOGLEFINANCE(A713, ""open"", DATE(2025,2,3), DATE(2025,2,3)), 2, 2)"),108.65)</f>
        <v>108.65</v>
      </c>
      <c r="G713" s="8">
        <f ca="1">IFERROR(__xludf.DUMMYFUNCTION("INDEX(GOOGLEFINANCE(A713, ""close"", DATE(2025,2,7), DATE(2025,2,7)), 2, 2)"),108.44)</f>
        <v>108.44</v>
      </c>
      <c r="H713" s="9">
        <f t="shared" ca="1" si="8"/>
        <v>-0.19328117809480713</v>
      </c>
      <c r="I713" s="10">
        <f t="shared" ca="1" si="9"/>
        <v>-1.9328117809480714</v>
      </c>
      <c r="J713" s="10" t="str">
        <f t="shared" si="10"/>
        <v>Put Spread</v>
      </c>
      <c r="K713" s="10" t="str">
        <f t="shared" ca="1" si="11"/>
        <v>Success</v>
      </c>
    </row>
    <row r="714" spans="1:11" ht="16">
      <c r="A714" s="1" t="s">
        <v>733</v>
      </c>
      <c r="B714" s="8" t="s">
        <v>14</v>
      </c>
      <c r="C714" s="8">
        <v>128.91</v>
      </c>
      <c r="D714" s="8" t="s">
        <v>15</v>
      </c>
      <c r="E714" s="8">
        <v>120.67</v>
      </c>
      <c r="F714" s="8">
        <f ca="1">IFERROR(__xludf.DUMMYFUNCTION("INDEX(GOOGLEFINANCE(A714, ""open"", DATE(2025,2,3), DATE(2025,2,3)), 2, 2)"),123.96)</f>
        <v>123.96</v>
      </c>
      <c r="G714" s="8">
        <f ca="1">IFERROR(__xludf.DUMMYFUNCTION("INDEX(GOOGLEFINANCE(A714, ""close"", DATE(2025,2,7), DATE(2025,2,7)), 2, 2)"),124.69)</f>
        <v>124.69</v>
      </c>
      <c r="H714" s="9">
        <f t="shared" ca="1" si="8"/>
        <v>0.5888996450467926</v>
      </c>
      <c r="I714" s="10">
        <f t="shared" ca="1" si="9"/>
        <v>5.8889964504679257</v>
      </c>
      <c r="J714" s="10" t="str">
        <f t="shared" si="10"/>
        <v>Put Spread</v>
      </c>
      <c r="K714" s="10" t="str">
        <f t="shared" ca="1" si="11"/>
        <v>Success</v>
      </c>
    </row>
    <row r="715" spans="1:11" ht="16">
      <c r="A715" s="1" t="s">
        <v>734</v>
      </c>
      <c r="B715" s="8" t="s">
        <v>14</v>
      </c>
      <c r="C715" s="8">
        <v>1.27</v>
      </c>
      <c r="D715" s="8" t="s">
        <v>15</v>
      </c>
      <c r="E715" s="8">
        <v>0.83</v>
      </c>
      <c r="F715" s="8">
        <f ca="1">IFERROR(__xludf.DUMMYFUNCTION("INDEX(GOOGLEFINANCE(A715, ""open"", DATE(2025,2,3), DATE(2025,2,3)), 2, 2)"),0.99)</f>
        <v>0.99</v>
      </c>
      <c r="G715" s="8">
        <f ca="1">IFERROR(__xludf.DUMMYFUNCTION("INDEX(GOOGLEFINANCE(A715, ""close"", DATE(2025,2,7), DATE(2025,2,7)), 2, 2)"),1)</f>
        <v>1</v>
      </c>
      <c r="H715" s="9">
        <f t="shared" ca="1" si="8"/>
        <v>1.0101010101010111</v>
      </c>
      <c r="I715" s="10">
        <f t="shared" ca="1" si="9"/>
        <v>10.101010101010111</v>
      </c>
      <c r="J715" s="10" t="str">
        <f t="shared" si="10"/>
        <v>Put Spread</v>
      </c>
      <c r="K715" s="10" t="str">
        <f t="shared" ca="1" si="11"/>
        <v>Success</v>
      </c>
    </row>
    <row r="716" spans="1:11" ht="16">
      <c r="A716" s="1" t="s">
        <v>735</v>
      </c>
      <c r="B716" s="8" t="s">
        <v>14</v>
      </c>
      <c r="C716" s="8">
        <v>89.54</v>
      </c>
      <c r="D716" s="8" t="s">
        <v>15</v>
      </c>
      <c r="E716" s="8">
        <v>85.98</v>
      </c>
      <c r="F716" s="8">
        <f ca="1">IFERROR(__xludf.DUMMYFUNCTION("INDEX(GOOGLEFINANCE(A716, ""open"", DATE(2025,2,3), DATE(2025,2,3)), 2, 2)"),88.58)</f>
        <v>88.58</v>
      </c>
      <c r="G716" s="8">
        <f ca="1">IFERROR(__xludf.DUMMYFUNCTION("INDEX(GOOGLEFINANCE(A716, ""close"", DATE(2025,2,7), DATE(2025,2,7)), 2, 2)"),89.27)</f>
        <v>89.27</v>
      </c>
      <c r="H716" s="9">
        <f t="shared" ca="1" si="8"/>
        <v>0.77895687514111278</v>
      </c>
      <c r="I716" s="10">
        <f t="shared" ca="1" si="9"/>
        <v>7.7895687514111271</v>
      </c>
      <c r="J716" s="10" t="str">
        <f t="shared" si="10"/>
        <v>Put Spread</v>
      </c>
      <c r="K716" s="10" t="str">
        <f t="shared" ca="1" si="11"/>
        <v>Success</v>
      </c>
    </row>
    <row r="717" spans="1:11" ht="16">
      <c r="A717" s="1" t="s">
        <v>736</v>
      </c>
      <c r="B717" s="1" t="s">
        <v>14</v>
      </c>
      <c r="C717" s="8">
        <v>1.92</v>
      </c>
      <c r="D717" s="8" t="s">
        <v>15</v>
      </c>
      <c r="E717" s="8">
        <v>1.34</v>
      </c>
      <c r="F717" s="8">
        <f ca="1">IFERROR(__xludf.DUMMYFUNCTION("INDEX(GOOGLEFINANCE(A717, ""open"", DATE(2025,2,3), DATE(2025,2,3)), 2, 2)"),1.58)</f>
        <v>1.58</v>
      </c>
      <c r="G717" s="8">
        <f ca="1">IFERROR(__xludf.DUMMYFUNCTION("INDEX(GOOGLEFINANCE(A717, ""close"", DATE(2025,2,7), DATE(2025,2,7)), 2, 2)"),1.81)</f>
        <v>1.81</v>
      </c>
      <c r="H717" s="9">
        <f t="shared" ca="1" si="8"/>
        <v>14.556962025316453</v>
      </c>
      <c r="I717" s="10">
        <f t="shared" ca="1" si="9"/>
        <v>145.56962025316454</v>
      </c>
      <c r="J717" s="10" t="str">
        <f t="shared" si="10"/>
        <v>Put Spread</v>
      </c>
      <c r="K717" s="10" t="str">
        <f t="shared" ca="1" si="11"/>
        <v>Success</v>
      </c>
    </row>
    <row r="718" spans="1:11" ht="16">
      <c r="A718" s="1" t="s">
        <v>737</v>
      </c>
      <c r="B718" s="1" t="s">
        <v>14</v>
      </c>
      <c r="C718" s="8">
        <v>76.66</v>
      </c>
      <c r="D718" s="8" t="s">
        <v>15</v>
      </c>
      <c r="E718" s="8">
        <v>58.44</v>
      </c>
      <c r="F718" s="8">
        <f ca="1">IFERROR(__xludf.DUMMYFUNCTION("INDEX(GOOGLEFINANCE(A718, ""open"", DATE(2025,2,3), DATE(2025,2,3)), 2, 2)"),65)</f>
        <v>65</v>
      </c>
      <c r="G718" s="8">
        <f ca="1">IFERROR(__xludf.DUMMYFUNCTION("INDEX(GOOGLEFINANCE(A718, ""close"", DATE(2025,2,7), DATE(2025,2,7)), 2, 2)"),72.6)</f>
        <v>72.599999999999994</v>
      </c>
      <c r="H718" s="9">
        <f t="shared" ca="1" si="8"/>
        <v>11.692307692307685</v>
      </c>
      <c r="I718" s="10">
        <f t="shared" ca="1" si="9"/>
        <v>116.92307692307685</v>
      </c>
      <c r="J718" s="10" t="str">
        <f t="shared" si="10"/>
        <v>Put Spread</v>
      </c>
      <c r="K718" s="10" t="str">
        <f t="shared" ca="1" si="11"/>
        <v>Success</v>
      </c>
    </row>
    <row r="719" spans="1:11" ht="16">
      <c r="A719" s="1" t="s">
        <v>738</v>
      </c>
      <c r="B719" s="1" t="s">
        <v>14</v>
      </c>
      <c r="C719" s="8">
        <v>12.94</v>
      </c>
      <c r="D719" s="8" t="s">
        <v>15</v>
      </c>
      <c r="E719" s="8">
        <v>11.02</v>
      </c>
      <c r="F719" s="8">
        <f ca="1">IFERROR(__xludf.DUMMYFUNCTION("INDEX(GOOGLEFINANCE(A719, ""open"", DATE(2025,2,3), DATE(2025,2,3)), 2, 2)"),11.79)</f>
        <v>11.79</v>
      </c>
      <c r="G719" s="8">
        <f ca="1">IFERROR(__xludf.DUMMYFUNCTION("INDEX(GOOGLEFINANCE(A719, ""close"", DATE(2025,2,7), DATE(2025,2,7)), 2, 2)"),12.54)</f>
        <v>12.54</v>
      </c>
      <c r="H719" s="9">
        <f t="shared" ca="1" si="8"/>
        <v>6.3613231552162848</v>
      </c>
      <c r="I719" s="10">
        <f t="shared" ca="1" si="9"/>
        <v>63.613231552162851</v>
      </c>
      <c r="J719" s="10" t="str">
        <f t="shared" si="10"/>
        <v>Put Spread</v>
      </c>
      <c r="K719" s="10" t="str">
        <f t="shared" ca="1" si="11"/>
        <v>Success</v>
      </c>
    </row>
    <row r="720" spans="1:11" ht="16">
      <c r="A720" s="1" t="s">
        <v>739</v>
      </c>
      <c r="B720" s="1" t="s">
        <v>14</v>
      </c>
      <c r="C720" s="8">
        <v>42.28</v>
      </c>
      <c r="D720" s="8" t="s">
        <v>15</v>
      </c>
      <c r="E720" s="8">
        <v>37.520000000000003</v>
      </c>
      <c r="F720" s="8">
        <f ca="1">IFERROR(__xludf.DUMMYFUNCTION("INDEX(GOOGLEFINANCE(A720, ""open"", DATE(2025,2,3), DATE(2025,2,3)), 2, 2)"),41.5)</f>
        <v>41.5</v>
      </c>
      <c r="G720" s="8">
        <f ca="1">IFERROR(__xludf.DUMMYFUNCTION("INDEX(GOOGLEFINANCE(A720, ""close"", DATE(2025,2,7), DATE(2025,2,7)), 2, 2)"),42.42)</f>
        <v>42.42</v>
      </c>
      <c r="H720" s="9">
        <f t="shared" ca="1" si="8"/>
        <v>2.2168674698795221</v>
      </c>
      <c r="I720" s="10">
        <f t="shared" ca="1" si="9"/>
        <v>22.168674698795222</v>
      </c>
      <c r="J720" s="10" t="str">
        <f t="shared" si="10"/>
        <v>Put Spread</v>
      </c>
      <c r="K720" s="10" t="str">
        <f t="shared" ca="1" si="11"/>
        <v>Success</v>
      </c>
    </row>
    <row r="721" spans="1:11" ht="16">
      <c r="A721" s="1" t="s">
        <v>740</v>
      </c>
      <c r="B721" s="1" t="s">
        <v>14</v>
      </c>
      <c r="C721" s="8">
        <v>615.41</v>
      </c>
      <c r="D721" s="8" t="s">
        <v>15</v>
      </c>
      <c r="E721" s="8">
        <v>580.09</v>
      </c>
      <c r="F721" s="8">
        <f ca="1">IFERROR(__xludf.DUMMYFUNCTION("INDEX(GOOGLEFINANCE(A721, ""open"", DATE(2025,2,3), DATE(2025,2,3)), 2, 2)"),593.13)</f>
        <v>593.13</v>
      </c>
      <c r="G721" s="8">
        <f ca="1">IFERROR(__xludf.DUMMYFUNCTION("INDEX(GOOGLEFINANCE(A721, ""close"", DATE(2025,2,7), DATE(2025,2,7)), 2, 2)"),571.47)</f>
        <v>571.47</v>
      </c>
      <c r="H721" s="9">
        <f t="shared" ca="1" si="8"/>
        <v>-3.6518132618481558</v>
      </c>
      <c r="I721" s="10">
        <f t="shared" ca="1" si="9"/>
        <v>-36.518132618481559</v>
      </c>
      <c r="J721" s="10" t="str">
        <f t="shared" si="10"/>
        <v>Put Spread</v>
      </c>
      <c r="K721" s="10" t="str">
        <f t="shared" ca="1" si="11"/>
        <v>No</v>
      </c>
    </row>
    <row r="722" spans="1:11" ht="16">
      <c r="A722" s="1" t="s">
        <v>741</v>
      </c>
      <c r="B722" s="1" t="s">
        <v>14</v>
      </c>
      <c r="C722" s="8">
        <v>238.92</v>
      </c>
      <c r="D722" s="8" t="s">
        <v>15</v>
      </c>
      <c r="E722" s="8">
        <v>227.02</v>
      </c>
      <c r="F722" s="8">
        <f ca="1">IFERROR(__xludf.DUMMYFUNCTION("INDEX(GOOGLEFINANCE(A722, ""open"", DATE(2025,2,3), DATE(2025,2,3)), 2, 2)"),235.94)</f>
        <v>235.94</v>
      </c>
      <c r="G722" s="8">
        <f ca="1">IFERROR(__xludf.DUMMYFUNCTION("INDEX(GOOGLEFINANCE(A722, ""close"", DATE(2025,2,7), DATE(2025,2,7)), 2, 2)"),246.24)</f>
        <v>246.24</v>
      </c>
      <c r="H722" s="9">
        <f t="shared" ca="1" si="8"/>
        <v>4.3655166567771513</v>
      </c>
      <c r="I722" s="10">
        <f t="shared" ca="1" si="9"/>
        <v>43.655166567771509</v>
      </c>
      <c r="J722" s="10" t="str">
        <f t="shared" si="10"/>
        <v>Put Spread</v>
      </c>
      <c r="K722" s="10" t="str">
        <f t="shared" ca="1" si="11"/>
        <v>Success</v>
      </c>
    </row>
    <row r="723" spans="1:11" ht="16">
      <c r="A723" s="1" t="s">
        <v>742</v>
      </c>
      <c r="B723" s="1" t="s">
        <v>14</v>
      </c>
      <c r="C723" s="8">
        <v>41.96</v>
      </c>
      <c r="D723" s="8" t="s">
        <v>15</v>
      </c>
      <c r="E723" s="8">
        <v>37.18</v>
      </c>
      <c r="F723" s="8">
        <f ca="1">IFERROR(__xludf.DUMMYFUNCTION("INDEX(GOOGLEFINANCE(A723, ""open"", DATE(2025,2,3), DATE(2025,2,3)), 2, 2)"),38.02)</f>
        <v>38.020000000000003</v>
      </c>
      <c r="G723" s="8">
        <f ca="1">IFERROR(__xludf.DUMMYFUNCTION("INDEX(GOOGLEFINANCE(A723, ""close"", DATE(2025,2,7), DATE(2025,2,7)), 2, 2)"),37.23)</f>
        <v>37.229999999999997</v>
      </c>
      <c r="H723" s="9">
        <f t="shared" ca="1" si="8"/>
        <v>-2.0778537611783436</v>
      </c>
      <c r="I723" s="10">
        <f t="shared" ca="1" si="9"/>
        <v>-20.778537611783435</v>
      </c>
      <c r="J723" s="10" t="str">
        <f t="shared" si="10"/>
        <v>Put Spread</v>
      </c>
      <c r="K723" s="10" t="str">
        <f t="shared" ca="1" si="11"/>
        <v>Success</v>
      </c>
    </row>
    <row r="724" spans="1:11" ht="16">
      <c r="A724" s="1" t="s">
        <v>743</v>
      </c>
      <c r="B724" s="1" t="s">
        <v>14</v>
      </c>
      <c r="C724" s="8">
        <v>47.35</v>
      </c>
      <c r="D724" s="8" t="s">
        <v>15</v>
      </c>
      <c r="E724" s="8">
        <v>41.35</v>
      </c>
      <c r="F724" s="8">
        <f ca="1">IFERROR(__xludf.DUMMYFUNCTION("INDEX(GOOGLEFINANCE(A724, ""open"", DATE(2025,2,3), DATE(2025,2,3)), 2, 2)"),41.41)</f>
        <v>41.41</v>
      </c>
      <c r="G724" s="8">
        <f ca="1">IFERROR(__xludf.DUMMYFUNCTION("INDEX(GOOGLEFINANCE(A724, ""close"", DATE(2025,2,7), DATE(2025,2,7)), 2, 2)"),43.87)</f>
        <v>43.87</v>
      </c>
      <c r="H724" s="9">
        <f t="shared" ca="1" si="8"/>
        <v>5.9405940594059432</v>
      </c>
      <c r="I724" s="10">
        <f t="shared" ca="1" si="9"/>
        <v>59.40594059405943</v>
      </c>
      <c r="J724" s="10" t="str">
        <f t="shared" si="10"/>
        <v>Put Spread</v>
      </c>
      <c r="K724" s="10" t="str">
        <f t="shared" ca="1" si="11"/>
        <v>Success</v>
      </c>
    </row>
    <row r="725" spans="1:11" ht="16">
      <c r="A725" s="1" t="s">
        <v>744</v>
      </c>
      <c r="B725" s="1" t="s">
        <v>14</v>
      </c>
      <c r="C725" s="8">
        <v>44.51</v>
      </c>
      <c r="D725" s="8" t="s">
        <v>15</v>
      </c>
      <c r="E725" s="8">
        <v>37.33</v>
      </c>
      <c r="F725" s="8">
        <f ca="1">IFERROR(__xludf.DUMMYFUNCTION("INDEX(GOOGLEFINANCE(A725, ""open"", DATE(2025,2,3), DATE(2025,2,3)), 2, 2)"),39.24)</f>
        <v>39.24</v>
      </c>
      <c r="G725" s="8">
        <f ca="1">IFERROR(__xludf.DUMMYFUNCTION("INDEX(GOOGLEFINANCE(A725, ""close"", DATE(2025,2,7), DATE(2025,2,7)), 2, 2)"),41.12)</f>
        <v>41.12</v>
      </c>
      <c r="H725" s="9">
        <f t="shared" ca="1" si="8"/>
        <v>4.7910295616717518</v>
      </c>
      <c r="I725" s="10">
        <f t="shared" ca="1" si="9"/>
        <v>47.910295616717519</v>
      </c>
      <c r="J725" s="10" t="str">
        <f t="shared" si="10"/>
        <v>Put Spread</v>
      </c>
      <c r="K725" s="10" t="str">
        <f t="shared" ca="1" si="11"/>
        <v>Success</v>
      </c>
    </row>
    <row r="726" spans="1:11" ht="16">
      <c r="A726" s="1" t="s">
        <v>745</v>
      </c>
      <c r="B726" s="1" t="s">
        <v>14</v>
      </c>
      <c r="C726" s="8">
        <v>89.21</v>
      </c>
      <c r="D726" s="8" t="s">
        <v>15</v>
      </c>
      <c r="E726" s="8">
        <v>76.23</v>
      </c>
      <c r="F726" s="8">
        <f ca="1">IFERROR(__xludf.DUMMYFUNCTION("INDEX(GOOGLEFINANCE(A726, ""open"", DATE(2025,2,3), DATE(2025,2,3)), 2, 2)"),78.53)</f>
        <v>78.53</v>
      </c>
      <c r="G726" s="8">
        <f ca="1">IFERROR(__xludf.DUMMYFUNCTION("INDEX(GOOGLEFINANCE(A726, ""close"", DATE(2025,2,7), DATE(2025,2,7)), 2, 2)"),82.73)</f>
        <v>82.73</v>
      </c>
      <c r="H726" s="9">
        <f t="shared" ca="1" si="8"/>
        <v>5.3482745447599678</v>
      </c>
      <c r="I726" s="10">
        <f t="shared" ca="1" si="9"/>
        <v>53.482745447599683</v>
      </c>
      <c r="J726" s="10" t="str">
        <f t="shared" si="10"/>
        <v>Put Spread</v>
      </c>
      <c r="K726" s="10" t="str">
        <f t="shared" ca="1" si="11"/>
        <v>Success</v>
      </c>
    </row>
    <row r="727" spans="1:11" ht="16">
      <c r="A727" s="1" t="s">
        <v>746</v>
      </c>
      <c r="B727" s="1" t="s">
        <v>14</v>
      </c>
      <c r="C727" s="8">
        <v>251.92</v>
      </c>
      <c r="D727" s="8" t="s">
        <v>15</v>
      </c>
      <c r="E727" s="8">
        <v>238.44</v>
      </c>
      <c r="F727" s="8">
        <f ca="1">IFERROR(__xludf.DUMMYFUNCTION("INDEX(GOOGLEFINANCE(A727, ""open"", DATE(2025,2,3), DATE(2025,2,3)), 2, 2)"),242.62)</f>
        <v>242.62</v>
      </c>
      <c r="G727" s="8">
        <f ca="1">IFERROR(__xludf.DUMMYFUNCTION("INDEX(GOOGLEFINANCE(A727, ""close"", DATE(2025,2,7), DATE(2025,2,7)), 2, 2)"),245.19)</f>
        <v>245.19</v>
      </c>
      <c r="H727" s="9">
        <f t="shared" ca="1" si="8"/>
        <v>1.0592696397658863</v>
      </c>
      <c r="I727" s="10">
        <f t="shared" ca="1" si="9"/>
        <v>10.592696397658862</v>
      </c>
      <c r="J727" s="10" t="str">
        <f t="shared" si="10"/>
        <v>Put Spread</v>
      </c>
      <c r="K727" s="10" t="str">
        <f t="shared" ca="1" si="11"/>
        <v>Success</v>
      </c>
    </row>
    <row r="728" spans="1:11" ht="16">
      <c r="A728" s="1" t="s">
        <v>747</v>
      </c>
      <c r="B728" s="1" t="s">
        <v>14</v>
      </c>
      <c r="C728" s="8">
        <v>52.38</v>
      </c>
      <c r="D728" s="8" t="s">
        <v>15</v>
      </c>
      <c r="E728" s="8">
        <v>45.4</v>
      </c>
      <c r="F728" s="8">
        <f ca="1">IFERROR(__xludf.DUMMYFUNCTION("INDEX(GOOGLEFINANCE(A728, ""open"", DATE(2025,2,3), DATE(2025,2,3)), 2, 2)"),47.69)</f>
        <v>47.69</v>
      </c>
      <c r="G728" s="8">
        <f ca="1">IFERROR(__xludf.DUMMYFUNCTION("INDEX(GOOGLEFINANCE(A728, ""close"", DATE(2025,2,7), DATE(2025,2,7)), 2, 2)"),48.64)</f>
        <v>48.64</v>
      </c>
      <c r="H728" s="9">
        <f t="shared" ca="1" si="8"/>
        <v>1.9920318725099664</v>
      </c>
      <c r="I728" s="10">
        <f t="shared" ca="1" si="9"/>
        <v>19.920318725099666</v>
      </c>
      <c r="J728" s="10" t="str">
        <f t="shared" si="10"/>
        <v>Put Spread</v>
      </c>
      <c r="K728" s="10" t="str">
        <f t="shared" ca="1" si="11"/>
        <v>Success</v>
      </c>
    </row>
    <row r="729" spans="1:11" ht="16">
      <c r="A729" s="1" t="s">
        <v>748</v>
      </c>
      <c r="B729" s="1" t="s">
        <v>14</v>
      </c>
      <c r="C729" s="8">
        <v>435.61</v>
      </c>
      <c r="D729" s="8" t="s">
        <v>15</v>
      </c>
      <c r="E729" s="8">
        <v>373.59</v>
      </c>
      <c r="F729" s="8">
        <f ca="1">IFERROR(__xludf.DUMMYFUNCTION("INDEX(GOOGLEFINANCE(A729, ""open"", DATE(2025,2,3), DATE(2025,2,3)), 2, 2)"),386.68)</f>
        <v>386.68</v>
      </c>
      <c r="G729" s="8">
        <f ca="1">IFERROR(__xludf.DUMMYFUNCTION("INDEX(GOOGLEFINANCE(A729, ""close"", DATE(2025,2,7), DATE(2025,2,7)), 2, 2)"),361.62)</f>
        <v>361.62</v>
      </c>
      <c r="H729" s="9">
        <f t="shared" ca="1" si="8"/>
        <v>-6.4808110065170172</v>
      </c>
      <c r="I729" s="10">
        <f t="shared" ca="1" si="9"/>
        <v>-64.808110065170183</v>
      </c>
      <c r="J729" s="10" t="str">
        <f t="shared" si="10"/>
        <v>Put Spread</v>
      </c>
      <c r="K729" s="10" t="str">
        <f t="shared" ca="1" si="11"/>
        <v>No</v>
      </c>
    </row>
    <row r="730" spans="1:11" ht="16">
      <c r="A730" s="1" t="s">
        <v>749</v>
      </c>
      <c r="B730" s="1" t="s">
        <v>14</v>
      </c>
      <c r="C730" s="8">
        <v>30.44</v>
      </c>
      <c r="D730" s="8" t="s">
        <v>15</v>
      </c>
      <c r="E730" s="8">
        <v>22.96</v>
      </c>
      <c r="F730" s="8">
        <f ca="1">IFERROR(__xludf.DUMMYFUNCTION("INDEX(GOOGLEFINANCE(A730, ""open"", DATE(2025,2,3), DATE(2025,2,3)), 2, 2)"),24.33)</f>
        <v>24.33</v>
      </c>
      <c r="G730" s="8">
        <f ca="1">IFERROR(__xludf.DUMMYFUNCTION("INDEX(GOOGLEFINANCE(A730, ""close"", DATE(2025,2,7), DATE(2025,2,7)), 2, 2)"),21.13)</f>
        <v>21.13</v>
      </c>
      <c r="H730" s="9">
        <f t="shared" ca="1" si="8"/>
        <v>-13.152486642005753</v>
      </c>
      <c r="I730" s="10">
        <f t="shared" ca="1" si="9"/>
        <v>-131.52486642005752</v>
      </c>
      <c r="J730" s="10" t="str">
        <f t="shared" si="10"/>
        <v>Put Spread</v>
      </c>
      <c r="K730" s="10" t="str">
        <f t="shared" ca="1" si="11"/>
        <v>No</v>
      </c>
    </row>
    <row r="731" spans="1:11" ht="16">
      <c r="A731" s="1" t="s">
        <v>750</v>
      </c>
      <c r="B731" s="1" t="s">
        <v>14</v>
      </c>
      <c r="C731" s="8">
        <v>42.22</v>
      </c>
      <c r="D731" s="8" t="s">
        <v>15</v>
      </c>
      <c r="E731" s="8">
        <v>30.88</v>
      </c>
      <c r="F731" s="8">
        <f ca="1">IFERROR(__xludf.DUMMYFUNCTION("INDEX(GOOGLEFINANCE(A731, ""open"", DATE(2025,2,3), DATE(2025,2,3)), 2, 2)"),33.31)</f>
        <v>33.31</v>
      </c>
      <c r="G731" s="8">
        <f ca="1">IFERROR(__xludf.DUMMYFUNCTION("INDEX(GOOGLEFINANCE(A731, ""close"", DATE(2025,2,7), DATE(2025,2,7)), 2, 2)"),28.96)</f>
        <v>28.96</v>
      </c>
      <c r="H731" s="9">
        <f t="shared" ca="1" si="8"/>
        <v>-13.059141398979287</v>
      </c>
      <c r="I731" s="10">
        <f t="shared" ca="1" si="9"/>
        <v>-130.59141398979287</v>
      </c>
      <c r="J731" s="10" t="str">
        <f t="shared" si="10"/>
        <v>Put Spread</v>
      </c>
      <c r="K731" s="10" t="str">
        <f t="shared" ca="1" si="11"/>
        <v>No</v>
      </c>
    </row>
    <row r="732" spans="1:11" ht="16">
      <c r="A732" s="1" t="s">
        <v>751</v>
      </c>
      <c r="B732" s="1" t="s">
        <v>14</v>
      </c>
      <c r="C732" s="8">
        <v>14.27</v>
      </c>
      <c r="D732" s="8" t="s">
        <v>15</v>
      </c>
      <c r="E732" s="8">
        <v>12.55</v>
      </c>
      <c r="F732" s="8">
        <f ca="1">IFERROR(__xludf.DUMMYFUNCTION("INDEX(GOOGLEFINANCE(A732, ""open"", DATE(2025,2,3), DATE(2025,2,3)), 2, 2)"),12.94)</f>
        <v>12.94</v>
      </c>
      <c r="G732" s="8">
        <f ca="1">IFERROR(__xludf.DUMMYFUNCTION("INDEX(GOOGLEFINANCE(A732, ""close"", DATE(2025,2,7), DATE(2025,2,7)), 2, 2)"),12.19)</f>
        <v>12.19</v>
      </c>
      <c r="H732" s="9">
        <f t="shared" ca="1" si="8"/>
        <v>-5.7959814528593512</v>
      </c>
      <c r="I732" s="10">
        <f t="shared" ca="1" si="9"/>
        <v>-57.959814528593512</v>
      </c>
      <c r="J732" s="10" t="str">
        <f t="shared" si="10"/>
        <v>Put Spread</v>
      </c>
      <c r="K732" s="10" t="str">
        <f t="shared" ca="1" si="11"/>
        <v>No</v>
      </c>
    </row>
    <row r="733" spans="1:11" ht="16">
      <c r="A733" s="1" t="s">
        <v>752</v>
      </c>
      <c r="B733" s="1" t="s">
        <v>14</v>
      </c>
      <c r="C733" s="8">
        <v>221.82</v>
      </c>
      <c r="D733" s="8" t="s">
        <v>15</v>
      </c>
      <c r="E733" s="8">
        <v>196.82</v>
      </c>
      <c r="F733" s="8">
        <f ca="1">IFERROR(__xludf.DUMMYFUNCTION("INDEX(GOOGLEFINANCE(A733, ""open"", DATE(2025,2,3), DATE(2025,2,3)), 2, 2)"),199.63)</f>
        <v>199.63</v>
      </c>
      <c r="G733" s="8">
        <f ca="1">IFERROR(__xludf.DUMMYFUNCTION("INDEX(GOOGLEFINANCE(A733, ""close"", DATE(2025,2,7), DATE(2025,2,7)), 2, 2)"),206.12)</f>
        <v>206.12</v>
      </c>
      <c r="H733" s="9">
        <f t="shared" ca="1" si="8"/>
        <v>3.2510143765967086</v>
      </c>
      <c r="I733" s="10">
        <f t="shared" ca="1" si="9"/>
        <v>32.510143765967086</v>
      </c>
      <c r="J733" s="10" t="str">
        <f t="shared" si="10"/>
        <v>Put Spread</v>
      </c>
      <c r="K733" s="10" t="str">
        <f t="shared" ca="1" si="11"/>
        <v>Success</v>
      </c>
    </row>
    <row r="734" spans="1:11" ht="16">
      <c r="A734" s="1" t="s">
        <v>753</v>
      </c>
      <c r="B734" s="1" t="s">
        <v>38</v>
      </c>
      <c r="C734" s="8">
        <v>53.98</v>
      </c>
      <c r="D734" s="8" t="s">
        <v>39</v>
      </c>
      <c r="E734" s="8">
        <v>59</v>
      </c>
      <c r="F734" s="8">
        <f ca="1">IFERROR(__xludf.DUMMYFUNCTION("INDEX(GOOGLEFINANCE(A734, ""open"", DATE(2025,2,3), DATE(2025,2,3)), 2, 2)"),57.42)</f>
        <v>57.42</v>
      </c>
      <c r="G734" s="8">
        <f ca="1">IFERROR(__xludf.DUMMYFUNCTION("INDEX(GOOGLEFINANCE(A734, ""close"", DATE(2025,2,7), DATE(2025,2,7)), 2, 2)"),57.94)</f>
        <v>57.94</v>
      </c>
      <c r="H734" s="9">
        <f t="shared" ca="1" si="8"/>
        <v>-0.9056078021595193</v>
      </c>
      <c r="I734" s="10">
        <f t="shared" ca="1" si="9"/>
        <v>-9.0560780215951926</v>
      </c>
      <c r="J734" s="10" t="str">
        <f t="shared" si="10"/>
        <v>Call Spread</v>
      </c>
      <c r="K734" s="10" t="str">
        <f t="shared" ca="1" si="11"/>
        <v>Success</v>
      </c>
    </row>
    <row r="735" spans="1:11" ht="16">
      <c r="A735" s="1" t="s">
        <v>754</v>
      </c>
      <c r="B735" s="1" t="s">
        <v>14</v>
      </c>
      <c r="C735" s="8">
        <v>128.51</v>
      </c>
      <c r="D735" s="8" t="s">
        <v>15</v>
      </c>
      <c r="E735" s="8">
        <v>108.85</v>
      </c>
      <c r="F735" s="8">
        <f ca="1">IFERROR(__xludf.DUMMYFUNCTION("INDEX(GOOGLEFINANCE(A735, ""open"", DATE(2025,2,3), DATE(2025,2,3)), 2, 2)"),115.79)</f>
        <v>115.79</v>
      </c>
      <c r="G735" s="8">
        <f ca="1">IFERROR(__xludf.DUMMYFUNCTION("INDEX(GOOGLEFINANCE(A735, ""close"", DATE(2025,2,7), DATE(2025,2,7)), 2, 2)"),117.29)</f>
        <v>117.29</v>
      </c>
      <c r="H735" s="9">
        <f t="shared" ca="1" si="8"/>
        <v>1.2954486570515586</v>
      </c>
      <c r="I735" s="10">
        <f t="shared" ca="1" si="9"/>
        <v>12.954486570515588</v>
      </c>
      <c r="J735" s="10" t="str">
        <f t="shared" si="10"/>
        <v>Put Spread</v>
      </c>
      <c r="K735" s="10" t="str">
        <f t="shared" ca="1" si="11"/>
        <v>Success</v>
      </c>
    </row>
    <row r="736" spans="1:11" ht="16">
      <c r="A736" s="1" t="s">
        <v>755</v>
      </c>
      <c r="B736" s="1" t="s">
        <v>14</v>
      </c>
      <c r="C736" s="8">
        <v>194.95</v>
      </c>
      <c r="D736" s="8" t="s">
        <v>15</v>
      </c>
      <c r="E736" s="8">
        <v>176.07</v>
      </c>
      <c r="F736" s="8">
        <f ca="1">IFERROR(__xludf.DUMMYFUNCTION("INDEX(GOOGLEFINANCE(A736, ""open"", DATE(2025,2,3), DATE(2025,2,3)), 2, 2)"),184.62)</f>
        <v>184.62</v>
      </c>
      <c r="G736" s="8">
        <f ca="1">IFERROR(__xludf.DUMMYFUNCTION("INDEX(GOOGLEFINANCE(A736, ""close"", DATE(2025,2,7), DATE(2025,2,7)), 2, 2)"),208.77)</f>
        <v>208.77</v>
      </c>
      <c r="H736" s="9">
        <f t="shared" ca="1" si="8"/>
        <v>13.08092297692558</v>
      </c>
      <c r="I736" s="10">
        <f t="shared" ca="1" si="9"/>
        <v>130.80922976925581</v>
      </c>
      <c r="J736" s="10" t="str">
        <f t="shared" si="10"/>
        <v>Put Spread</v>
      </c>
      <c r="K736" s="10" t="str">
        <f t="shared" ca="1" si="11"/>
        <v>Success</v>
      </c>
    </row>
    <row r="737" spans="1:11" ht="16">
      <c r="A737" s="1" t="s">
        <v>756</v>
      </c>
      <c r="B737" s="1" t="s">
        <v>14</v>
      </c>
      <c r="C737" s="8">
        <v>22.28</v>
      </c>
      <c r="D737" s="8" t="s">
        <v>15</v>
      </c>
      <c r="E737" s="8">
        <v>20.399999999999999</v>
      </c>
      <c r="F737" s="8">
        <f ca="1">IFERROR(__xludf.DUMMYFUNCTION("INDEX(GOOGLEFINANCE(A737, ""open"", DATE(2025,2,3), DATE(2025,2,3)), 2, 2)"),21.3)</f>
        <v>21.3</v>
      </c>
      <c r="G737" s="8">
        <f ca="1">IFERROR(__xludf.DUMMYFUNCTION("INDEX(GOOGLEFINANCE(A737, ""close"", DATE(2025,2,7), DATE(2025,2,7)), 2, 2)"),21.18)</f>
        <v>21.18</v>
      </c>
      <c r="H737" s="9">
        <f t="shared" ca="1" si="8"/>
        <v>-0.56338028169014542</v>
      </c>
      <c r="I737" s="10">
        <f t="shared" ca="1" si="9"/>
        <v>-5.6338028169014542</v>
      </c>
      <c r="J737" s="10" t="str">
        <f t="shared" si="10"/>
        <v>Put Spread</v>
      </c>
      <c r="K737" s="10" t="str">
        <f t="shared" ca="1" si="11"/>
        <v>Success</v>
      </c>
    </row>
    <row r="738" spans="1:11" ht="16">
      <c r="A738" s="1" t="s">
        <v>757</v>
      </c>
      <c r="B738" s="1" t="s">
        <v>14</v>
      </c>
      <c r="C738" s="8">
        <v>37.61</v>
      </c>
      <c r="D738" s="8" t="s">
        <v>15</v>
      </c>
      <c r="E738" s="8">
        <v>34.270000000000003</v>
      </c>
      <c r="F738" s="8">
        <f ca="1">IFERROR(__xludf.DUMMYFUNCTION("INDEX(GOOGLEFINANCE(A738, ""open"", DATE(2025,2,3), DATE(2025,2,3)), 2, 2)"),35.1)</f>
        <v>35.1</v>
      </c>
      <c r="G738" s="8">
        <f ca="1">IFERROR(__xludf.DUMMYFUNCTION("INDEX(GOOGLEFINANCE(A738, ""close"", DATE(2025,2,7), DATE(2025,2,7)), 2, 2)"),35.65)</f>
        <v>35.65</v>
      </c>
      <c r="H738" s="9">
        <f t="shared" ca="1" si="8"/>
        <v>1.5669515669515588</v>
      </c>
      <c r="I738" s="10">
        <f t="shared" ca="1" si="9"/>
        <v>15.669515669515588</v>
      </c>
      <c r="J738" s="10" t="str">
        <f t="shared" si="10"/>
        <v>Put Spread</v>
      </c>
      <c r="K738" s="10" t="str">
        <f t="shared" ca="1" si="11"/>
        <v>Success</v>
      </c>
    </row>
    <row r="739" spans="1:11" ht="16">
      <c r="A739" s="1" t="s">
        <v>758</v>
      </c>
      <c r="B739" s="1" t="s">
        <v>14</v>
      </c>
      <c r="C739" s="8">
        <v>156.83000000000001</v>
      </c>
      <c r="D739" s="8" t="s">
        <v>15</v>
      </c>
      <c r="E739" s="8">
        <v>136.33000000000001</v>
      </c>
      <c r="F739" s="8">
        <f ca="1">IFERROR(__xludf.DUMMYFUNCTION("INDEX(GOOGLEFINANCE(A739, ""open"", DATE(2025,2,3), DATE(2025,2,3)), 2, 2)"),142.54)</f>
        <v>142.54</v>
      </c>
      <c r="G739" s="8">
        <f ca="1">IFERROR(__xludf.DUMMYFUNCTION("INDEX(GOOGLEFINANCE(A739, ""close"", DATE(2025,2,7), DATE(2025,2,7)), 2, 2)"),145.65)</f>
        <v>145.65</v>
      </c>
      <c r="H739" s="9">
        <f t="shared" ca="1" si="8"/>
        <v>2.1818436929984664</v>
      </c>
      <c r="I739" s="10">
        <f t="shared" ca="1" si="9"/>
        <v>21.818436929984664</v>
      </c>
      <c r="J739" s="10" t="str">
        <f t="shared" si="10"/>
        <v>Put Spread</v>
      </c>
      <c r="K739" s="10" t="str">
        <f t="shared" ca="1" si="11"/>
        <v>Success</v>
      </c>
    </row>
    <row r="740" spans="1:11" ht="16">
      <c r="A740" s="1" t="s">
        <v>759</v>
      </c>
      <c r="B740" s="1" t="s">
        <v>38</v>
      </c>
      <c r="C740" s="8">
        <v>177.01</v>
      </c>
      <c r="D740" s="8" t="s">
        <v>39</v>
      </c>
      <c r="E740" s="8">
        <v>192.21</v>
      </c>
      <c r="F740" s="8">
        <f ca="1">IFERROR(__xludf.DUMMYFUNCTION("INDEX(GOOGLEFINANCE(A740, ""open"", DATE(2025,2,3), DATE(2025,2,3)), 2, 2)"),183.03)</f>
        <v>183.03</v>
      </c>
      <c r="G740" s="8">
        <f ca="1">IFERROR(__xludf.DUMMYFUNCTION("INDEX(GOOGLEFINANCE(A740, ""close"", DATE(2025,2,7), DATE(2025,2,7)), 2, 2)"),180)</f>
        <v>180</v>
      </c>
      <c r="H740" s="9">
        <f t="shared" ca="1" si="8"/>
        <v>1.6554663169972141</v>
      </c>
      <c r="I740" s="10">
        <f t="shared" ca="1" si="9"/>
        <v>16.554663169972141</v>
      </c>
      <c r="J740" s="10" t="str">
        <f t="shared" si="10"/>
        <v>Call Spread</v>
      </c>
      <c r="K740" s="10" t="str">
        <f t="shared" ca="1" si="11"/>
        <v>Success</v>
      </c>
    </row>
    <row r="741" spans="1:11" ht="16">
      <c r="A741" s="1" t="s">
        <v>760</v>
      </c>
      <c r="B741" s="1" t="s">
        <v>14</v>
      </c>
      <c r="C741" s="8">
        <v>13.9</v>
      </c>
      <c r="D741" s="8" t="s">
        <v>15</v>
      </c>
      <c r="E741" s="8">
        <v>10.24</v>
      </c>
      <c r="F741" s="8">
        <f ca="1">IFERROR(__xludf.DUMMYFUNCTION("INDEX(GOOGLEFINANCE(A741, ""open"", DATE(2025,2,3), DATE(2025,2,3)), 2, 2)"),12.88)</f>
        <v>12.88</v>
      </c>
      <c r="G741" s="8">
        <f ca="1">IFERROR(__xludf.DUMMYFUNCTION("INDEX(GOOGLEFINANCE(A741, ""close"", DATE(2025,2,7), DATE(2025,2,7)), 2, 2)"),12.14)</f>
        <v>12.14</v>
      </c>
      <c r="H741" s="9">
        <f t="shared" ca="1" si="8"/>
        <v>-5.7453416149068337</v>
      </c>
      <c r="I741" s="10">
        <f t="shared" ca="1" si="9"/>
        <v>-57.453416149068332</v>
      </c>
      <c r="J741" s="10" t="str">
        <f t="shared" si="10"/>
        <v>Put Spread</v>
      </c>
      <c r="K741" s="10" t="str">
        <f t="shared" ca="1" si="11"/>
        <v>Success</v>
      </c>
    </row>
    <row r="742" spans="1:11" ht="16">
      <c r="A742" s="1" t="s">
        <v>761</v>
      </c>
      <c r="B742" s="1" t="s">
        <v>14</v>
      </c>
      <c r="C742" s="8">
        <v>21.4</v>
      </c>
      <c r="D742" s="8" t="s">
        <v>15</v>
      </c>
      <c r="E742" s="8">
        <v>18.260000000000002</v>
      </c>
      <c r="F742" s="8">
        <f ca="1">IFERROR(__xludf.DUMMYFUNCTION("INDEX(GOOGLEFINANCE(A742, ""open"", DATE(2025,2,3), DATE(2025,2,3)), 2, 2)"),19.69)</f>
        <v>19.690000000000001</v>
      </c>
      <c r="G742" s="8">
        <f ca="1">IFERROR(__xludf.DUMMYFUNCTION("INDEX(GOOGLEFINANCE(A742, ""close"", DATE(2025,2,7), DATE(2025,2,7)), 2, 2)"),23.84)</f>
        <v>23.84</v>
      </c>
      <c r="H742" s="9">
        <f t="shared" ca="1" si="8"/>
        <v>21.076688674454029</v>
      </c>
      <c r="I742" s="10">
        <f t="shared" ca="1" si="9"/>
        <v>210.76688674454027</v>
      </c>
      <c r="J742" s="10" t="str">
        <f t="shared" si="10"/>
        <v>Put Spread</v>
      </c>
      <c r="K742" s="10" t="str">
        <f t="shared" ca="1" si="11"/>
        <v>Success</v>
      </c>
    </row>
    <row r="743" spans="1:11" ht="16">
      <c r="A743" s="1" t="s">
        <v>762</v>
      </c>
      <c r="B743" s="1" t="s">
        <v>14</v>
      </c>
      <c r="C743" s="8">
        <v>24.51</v>
      </c>
      <c r="D743" s="8" t="s">
        <v>15</v>
      </c>
      <c r="E743" s="8">
        <v>19.89</v>
      </c>
      <c r="F743" s="8">
        <f ca="1">IFERROR(__xludf.DUMMYFUNCTION("INDEX(GOOGLEFINANCE(A743, ""open"", DATE(2025,2,3), DATE(2025,2,3)), 2, 2)"),21.06)</f>
        <v>21.06</v>
      </c>
      <c r="G743" s="8">
        <f ca="1">IFERROR(__xludf.DUMMYFUNCTION("INDEX(GOOGLEFINANCE(A743, ""close"", DATE(2025,2,7), DATE(2025,2,7)), 2, 2)"),21.04)</f>
        <v>21.04</v>
      </c>
      <c r="H743" s="9">
        <f t="shared" ca="1" si="8"/>
        <v>-9.496676163342628E-2</v>
      </c>
      <c r="I743" s="10">
        <f t="shared" ca="1" si="9"/>
        <v>-0.94966761633426289</v>
      </c>
      <c r="J743" s="10" t="str">
        <f t="shared" si="10"/>
        <v>Put Spread</v>
      </c>
      <c r="K743" s="10" t="str">
        <f t="shared" ca="1" si="11"/>
        <v>Success</v>
      </c>
    </row>
    <row r="744" spans="1:11" ht="16">
      <c r="A744" s="1" t="s">
        <v>763</v>
      </c>
      <c r="B744" s="1" t="s">
        <v>38</v>
      </c>
      <c r="C744" s="8">
        <v>7.66</v>
      </c>
      <c r="D744" s="8" t="s">
        <v>39</v>
      </c>
      <c r="E744" s="8">
        <v>9.0399999999999991</v>
      </c>
      <c r="F744" s="8">
        <f ca="1">IFERROR(__xludf.DUMMYFUNCTION("INDEX(GOOGLEFINANCE(A744, ""open"", DATE(2025,2,3), DATE(2025,2,3)), 2, 2)"),8.07)</f>
        <v>8.07</v>
      </c>
      <c r="G744" s="8">
        <f ca="1">IFERROR(__xludf.DUMMYFUNCTION("INDEX(GOOGLEFINANCE(A744, ""close"", DATE(2025,2,7), DATE(2025,2,7)), 2, 2)"),7.3)</f>
        <v>7.3</v>
      </c>
      <c r="H744" s="9">
        <f t="shared" ca="1" si="8"/>
        <v>9.5415117719950473</v>
      </c>
      <c r="I744" s="10">
        <f t="shared" ca="1" si="9"/>
        <v>95.415117719950473</v>
      </c>
      <c r="J744" s="10" t="str">
        <f t="shared" si="10"/>
        <v>Call Spread</v>
      </c>
      <c r="K744" s="10" t="str">
        <f t="shared" ca="1" si="11"/>
        <v>Success</v>
      </c>
    </row>
    <row r="745" spans="1:11" ht="16">
      <c r="A745" s="1" t="s">
        <v>764</v>
      </c>
      <c r="B745" s="1" t="s">
        <v>14</v>
      </c>
      <c r="C745" s="8">
        <v>112.3</v>
      </c>
      <c r="D745" s="8" t="s">
        <v>15</v>
      </c>
      <c r="E745" s="8">
        <v>99.38</v>
      </c>
      <c r="F745" s="8">
        <f ca="1">IFERROR(__xludf.DUMMYFUNCTION("INDEX(GOOGLEFINANCE(A745, ""open"", DATE(2025,2,3), DATE(2025,2,3)), 2, 2)"),101.96)</f>
        <v>101.96</v>
      </c>
      <c r="G745" s="8">
        <f ca="1">IFERROR(__xludf.DUMMYFUNCTION("INDEX(GOOGLEFINANCE(A745, ""close"", DATE(2025,2,7), DATE(2025,2,7)), 2, 2)"),109)</f>
        <v>109</v>
      </c>
      <c r="H745" s="9">
        <f t="shared" ca="1" si="8"/>
        <v>6.904668497449987</v>
      </c>
      <c r="I745" s="10">
        <f t="shared" ca="1" si="9"/>
        <v>69.046684974499868</v>
      </c>
      <c r="J745" s="10" t="str">
        <f t="shared" si="10"/>
        <v>Put Spread</v>
      </c>
      <c r="K745" s="10" t="str">
        <f t="shared" ca="1" si="11"/>
        <v>Success</v>
      </c>
    </row>
    <row r="746" spans="1:11" ht="16">
      <c r="A746" s="1" t="s">
        <v>765</v>
      </c>
      <c r="B746" s="1" t="s">
        <v>14</v>
      </c>
      <c r="C746" s="8">
        <v>71.31</v>
      </c>
      <c r="D746" s="8" t="s">
        <v>15</v>
      </c>
      <c r="E746" s="8">
        <v>62.39</v>
      </c>
      <c r="F746" s="8">
        <f ca="1">IFERROR(__xludf.DUMMYFUNCTION("INDEX(GOOGLEFINANCE(A746, ""open"", DATE(2025,2,3), DATE(2025,2,3)), 2, 2)"),65.3)</f>
        <v>65.3</v>
      </c>
      <c r="G746" s="8">
        <f ca="1">IFERROR(__xludf.DUMMYFUNCTION("INDEX(GOOGLEFINANCE(A746, ""close"", DATE(2025,2,7), DATE(2025,2,7)), 2, 2)"),74.6)</f>
        <v>74.599999999999994</v>
      </c>
      <c r="H746" s="9">
        <f t="shared" ca="1" si="8"/>
        <v>14.241960183767224</v>
      </c>
      <c r="I746" s="10">
        <f t="shared" ca="1" si="9"/>
        <v>142.41960183767225</v>
      </c>
      <c r="J746" s="10" t="str">
        <f t="shared" si="10"/>
        <v>Put Spread</v>
      </c>
      <c r="K746" s="10" t="str">
        <f t="shared" ca="1" si="11"/>
        <v>Success</v>
      </c>
    </row>
    <row r="747" spans="1:11" ht="16">
      <c r="A747" s="1" t="s">
        <v>766</v>
      </c>
      <c r="B747" s="1" t="s">
        <v>14</v>
      </c>
      <c r="C747" s="8">
        <v>36.86</v>
      </c>
      <c r="D747" s="8" t="s">
        <v>15</v>
      </c>
      <c r="E747" s="8">
        <v>33.979999999999997</v>
      </c>
      <c r="F747" s="8">
        <f ca="1">IFERROR(__xludf.DUMMYFUNCTION("INDEX(GOOGLEFINANCE(A747, ""open"", DATE(2025,2,3), DATE(2025,2,3)), 2, 2)"),34.33)</f>
        <v>34.33</v>
      </c>
      <c r="G747" s="8">
        <f ca="1">IFERROR(__xludf.DUMMYFUNCTION("INDEX(GOOGLEFINANCE(A747, ""close"", DATE(2025,2,7), DATE(2025,2,7)), 2, 2)"),33.42)</f>
        <v>33.42</v>
      </c>
      <c r="H747" s="9">
        <f t="shared" ca="1" si="8"/>
        <v>-2.6507427905621808</v>
      </c>
      <c r="I747" s="10">
        <f t="shared" ca="1" si="9"/>
        <v>-26.507427905621807</v>
      </c>
      <c r="J747" s="10" t="str">
        <f t="shared" si="10"/>
        <v>Put Spread</v>
      </c>
      <c r="K747" s="10" t="str">
        <f t="shared" ca="1" si="11"/>
        <v>No</v>
      </c>
    </row>
    <row r="748" spans="1:11" ht="16">
      <c r="A748" s="1" t="s">
        <v>767</v>
      </c>
      <c r="B748" s="1" t="s">
        <v>14</v>
      </c>
      <c r="C748" s="8">
        <v>30.01</v>
      </c>
      <c r="D748" s="8" t="s">
        <v>15</v>
      </c>
      <c r="E748" s="8">
        <v>26.27</v>
      </c>
      <c r="F748" s="8">
        <f ca="1">IFERROR(__xludf.DUMMYFUNCTION("INDEX(GOOGLEFINANCE(A748, ""open"", DATE(2025,2,3), DATE(2025,2,3)), 2, 2)"),28.16)</f>
        <v>28.16</v>
      </c>
      <c r="G748" s="8">
        <f ca="1">IFERROR(__xludf.DUMMYFUNCTION("INDEX(GOOGLEFINANCE(A748, ""close"", DATE(2025,2,7), DATE(2025,2,7)), 2, 2)"),27.34)</f>
        <v>27.34</v>
      </c>
      <c r="H748" s="9">
        <f t="shared" ca="1" si="8"/>
        <v>-2.9119318181818192</v>
      </c>
      <c r="I748" s="10">
        <f t="shared" ca="1" si="9"/>
        <v>-29.119318181818194</v>
      </c>
      <c r="J748" s="10" t="str">
        <f t="shared" si="10"/>
        <v>Put Spread</v>
      </c>
      <c r="K748" s="10" t="str">
        <f t="shared" ca="1" si="11"/>
        <v>Success</v>
      </c>
    </row>
    <row r="749" spans="1:11" ht="16">
      <c r="A749" s="1" t="s">
        <v>768</v>
      </c>
      <c r="B749" s="1" t="s">
        <v>14</v>
      </c>
      <c r="C749" s="8">
        <v>17</v>
      </c>
      <c r="D749" s="8" t="s">
        <v>15</v>
      </c>
      <c r="E749" s="8">
        <v>16.559999999999999</v>
      </c>
      <c r="F749" s="8">
        <f ca="1">IFERROR(__xludf.DUMMYFUNCTION("INDEX(GOOGLEFINANCE(A749, ""open"", DATE(2025,2,3), DATE(2025,2,3)), 2, 2)"),16.69)</f>
        <v>16.690000000000001</v>
      </c>
      <c r="G749" s="8">
        <f ca="1">IFERROR(__xludf.DUMMYFUNCTION("INDEX(GOOGLEFINANCE(A749, ""close"", DATE(2025,2,7), DATE(2025,2,7)), 2, 2)"),16.83)</f>
        <v>16.829999999999998</v>
      </c>
      <c r="H749" s="9">
        <f t="shared" ca="1" si="8"/>
        <v>0.83882564409824456</v>
      </c>
      <c r="I749" s="10">
        <f t="shared" ca="1" si="9"/>
        <v>8.3882564409824454</v>
      </c>
      <c r="J749" s="10" t="str">
        <f t="shared" si="10"/>
        <v>Put Spread</v>
      </c>
      <c r="K749" s="10" t="str">
        <f t="shared" ca="1" si="11"/>
        <v>Success</v>
      </c>
    </row>
    <row r="750" spans="1:11" ht="16">
      <c r="A750" s="1" t="s">
        <v>769</v>
      </c>
      <c r="B750" s="1" t="s">
        <v>14</v>
      </c>
      <c r="C750" s="8">
        <v>112.46</v>
      </c>
      <c r="D750" s="8" t="s">
        <v>15</v>
      </c>
      <c r="E750" s="8">
        <v>101.82</v>
      </c>
      <c r="F750" s="8">
        <f ca="1">IFERROR(__xludf.DUMMYFUNCTION("INDEX(GOOGLEFINANCE(A750, ""open"", DATE(2025,2,3), DATE(2025,2,3)), 2, 2)"),103.24)</f>
        <v>103.24</v>
      </c>
      <c r="G750" s="8">
        <f ca="1">IFERROR(__xludf.DUMMYFUNCTION("INDEX(GOOGLEFINANCE(A750, ""close"", DATE(2025,2,7), DATE(2025,2,7)), 2, 2)"),105.26)</f>
        <v>105.26</v>
      </c>
      <c r="H750" s="9">
        <f t="shared" ca="1" si="8"/>
        <v>1.9566059666795916</v>
      </c>
      <c r="I750" s="10">
        <f t="shared" ca="1" si="9"/>
        <v>19.566059666795915</v>
      </c>
      <c r="J750" s="10" t="str">
        <f t="shared" si="10"/>
        <v>Put Spread</v>
      </c>
      <c r="K750" s="10" t="str">
        <f t="shared" ca="1" si="11"/>
        <v>Success</v>
      </c>
    </row>
    <row r="751" spans="1:11" ht="16">
      <c r="A751" s="1" t="s">
        <v>770</v>
      </c>
      <c r="B751" s="1" t="s">
        <v>38</v>
      </c>
      <c r="C751" s="8">
        <v>5.45</v>
      </c>
      <c r="D751" s="8" t="s">
        <v>39</v>
      </c>
      <c r="E751" s="8">
        <v>8.67</v>
      </c>
      <c r="F751" s="8">
        <f ca="1">IFERROR(__xludf.DUMMYFUNCTION("INDEX(GOOGLEFINANCE(A751, ""open"", DATE(2025,2,3), DATE(2025,2,3)), 2, 2)"),6.9)</f>
        <v>6.9</v>
      </c>
      <c r="G751" s="8">
        <f ca="1">IFERROR(__xludf.DUMMYFUNCTION("INDEX(GOOGLEFINANCE(A751, ""close"", DATE(2025,2,7), DATE(2025,2,7)), 2, 2)"),6.95)</f>
        <v>6.95</v>
      </c>
      <c r="H751" s="9">
        <f t="shared" ca="1" si="8"/>
        <v>-0.72463768115941773</v>
      </c>
      <c r="I751" s="10">
        <f t="shared" ca="1" si="9"/>
        <v>-7.2463768115941773</v>
      </c>
      <c r="J751" s="10" t="str">
        <f t="shared" si="10"/>
        <v>Call Spread</v>
      </c>
      <c r="K751" s="10" t="str">
        <f t="shared" ca="1" si="11"/>
        <v>Success</v>
      </c>
    </row>
    <row r="752" spans="1:11" ht="16">
      <c r="A752" s="1" t="s">
        <v>771</v>
      </c>
      <c r="B752" s="1" t="s">
        <v>14</v>
      </c>
      <c r="C752" s="8">
        <v>66.28</v>
      </c>
      <c r="D752" s="8" t="s">
        <v>15</v>
      </c>
      <c r="E752" s="8">
        <v>61.7</v>
      </c>
      <c r="F752" s="8">
        <f ca="1">IFERROR(__xludf.DUMMYFUNCTION("INDEX(GOOGLEFINANCE(A752, ""open"", DATE(2025,2,3), DATE(2025,2,3)), 2, 2)"),65.72)</f>
        <v>65.72</v>
      </c>
      <c r="G752" s="8">
        <f ca="1">IFERROR(__xludf.DUMMYFUNCTION("INDEX(GOOGLEFINANCE(A752, ""close"", DATE(2025,2,7), DATE(2025,2,7)), 2, 2)"),65.16)</f>
        <v>65.16</v>
      </c>
      <c r="H752" s="9">
        <f t="shared" ca="1" si="8"/>
        <v>-0.85209981740718543</v>
      </c>
      <c r="I752" s="10">
        <f t="shared" ca="1" si="9"/>
        <v>-8.5209981740718543</v>
      </c>
      <c r="J752" s="10" t="str">
        <f t="shared" si="10"/>
        <v>Put Spread</v>
      </c>
      <c r="K752" s="10" t="str">
        <f t="shared" ca="1" si="11"/>
        <v>Success</v>
      </c>
    </row>
    <row r="753" spans="1:11" ht="16">
      <c r="A753" s="1" t="s">
        <v>772</v>
      </c>
      <c r="B753" s="1" t="s">
        <v>14</v>
      </c>
      <c r="C753" s="8">
        <v>433.31</v>
      </c>
      <c r="D753" s="8" t="s">
        <v>15</v>
      </c>
      <c r="E753" s="8">
        <v>390.99</v>
      </c>
      <c r="F753" s="8">
        <f ca="1">IFERROR(__xludf.DUMMYFUNCTION("INDEX(GOOGLEFINANCE(A753, ""open"", DATE(2025,2,3), DATE(2025,2,3)), 2, 2)"),404.52)</f>
        <v>404.52</v>
      </c>
      <c r="G753" s="8">
        <f ca="1">IFERROR(__xludf.DUMMYFUNCTION("INDEX(GOOGLEFINANCE(A753, ""close"", DATE(2025,2,7), DATE(2025,2,7)), 2, 2)"),374.79)</f>
        <v>374.79</v>
      </c>
      <c r="H753" s="9">
        <f t="shared" ca="1" si="8"/>
        <v>-7.3494512014239008</v>
      </c>
      <c r="I753" s="10">
        <f t="shared" ca="1" si="9"/>
        <v>-73.494512014239007</v>
      </c>
      <c r="J753" s="10" t="str">
        <f t="shared" si="10"/>
        <v>Put Spread</v>
      </c>
      <c r="K753" s="10" t="str">
        <f t="shared" ca="1" si="11"/>
        <v>No</v>
      </c>
    </row>
    <row r="754" spans="1:11" ht="16">
      <c r="A754" s="1" t="s">
        <v>773</v>
      </c>
      <c r="B754" s="1" t="s">
        <v>14</v>
      </c>
      <c r="C754" s="8">
        <v>6.17</v>
      </c>
      <c r="D754" s="8" t="s">
        <v>15</v>
      </c>
      <c r="E754" s="8">
        <v>5.39</v>
      </c>
      <c r="F754" s="8">
        <f ca="1">IFERROR(__xludf.DUMMYFUNCTION("INDEX(GOOGLEFINANCE(A754, ""open"", DATE(2025,2,3), DATE(2025,2,3)), 2, 2)"),5.92)</f>
        <v>5.92</v>
      </c>
      <c r="G754" s="8">
        <f ca="1">IFERROR(__xludf.DUMMYFUNCTION("INDEX(GOOGLEFINANCE(A754, ""close"", DATE(2025,2,7), DATE(2025,2,7)), 2, 2)"),6.03)</f>
        <v>6.03</v>
      </c>
      <c r="H754" s="9">
        <f t="shared" ca="1" si="8"/>
        <v>1.8581081081081134</v>
      </c>
      <c r="I754" s="10">
        <f t="shared" ca="1" si="9"/>
        <v>18.581081081081134</v>
      </c>
      <c r="J754" s="10" t="str">
        <f t="shared" si="10"/>
        <v>Put Spread</v>
      </c>
      <c r="K754" s="10" t="str">
        <f t="shared" ca="1" si="11"/>
        <v>Success</v>
      </c>
    </row>
    <row r="755" spans="1:11" ht="16">
      <c r="A755" s="1" t="s">
        <v>774</v>
      </c>
      <c r="B755" s="1" t="s">
        <v>14</v>
      </c>
      <c r="C755" s="8">
        <v>32.299999999999997</v>
      </c>
      <c r="D755" s="8" t="s">
        <v>15</v>
      </c>
      <c r="E755" s="8">
        <v>27.18</v>
      </c>
      <c r="F755" s="8">
        <f ca="1">IFERROR(__xludf.DUMMYFUNCTION("INDEX(GOOGLEFINANCE(A755, ""open"", DATE(2025,2,3), DATE(2025,2,3)), 2, 2)"),29.04)</f>
        <v>29.04</v>
      </c>
      <c r="G755" s="8">
        <f ca="1">IFERROR(__xludf.DUMMYFUNCTION("INDEX(GOOGLEFINANCE(A755, ""close"", DATE(2025,2,7), DATE(2025,2,7)), 2, 2)"),29.79)</f>
        <v>29.79</v>
      </c>
      <c r="H755" s="9">
        <f t="shared" ca="1" si="8"/>
        <v>2.5826446280991737</v>
      </c>
      <c r="I755" s="10">
        <f t="shared" ca="1" si="9"/>
        <v>25.826446280991735</v>
      </c>
      <c r="J755" s="10" t="str">
        <f t="shared" si="10"/>
        <v>Put Spread</v>
      </c>
      <c r="K755" s="10" t="str">
        <f t="shared" ca="1" si="11"/>
        <v>Success</v>
      </c>
    </row>
    <row r="756" spans="1:11" ht="16">
      <c r="A756" s="1" t="s">
        <v>775</v>
      </c>
      <c r="B756" s="1" t="s">
        <v>14</v>
      </c>
      <c r="C756" s="8">
        <v>19.38</v>
      </c>
      <c r="D756" s="8" t="s">
        <v>15</v>
      </c>
      <c r="E756" s="8">
        <v>13</v>
      </c>
      <c r="F756" s="8">
        <f ca="1">IFERROR(__xludf.DUMMYFUNCTION("INDEX(GOOGLEFINANCE(A756, ""open"", DATE(2025,2,3), DATE(2025,2,3)), 2, 2)"),17.44)</f>
        <v>17.440000000000001</v>
      </c>
      <c r="G756" s="8">
        <f ca="1">IFERROR(__xludf.DUMMYFUNCTION("INDEX(GOOGLEFINANCE(A756, ""close"", DATE(2025,2,7), DATE(2025,2,7)), 2, 2)"),17.48)</f>
        <v>17.48</v>
      </c>
      <c r="H756" s="9">
        <f t="shared" ca="1" si="8"/>
        <v>0.22935779816513271</v>
      </c>
      <c r="I756" s="10">
        <f t="shared" ca="1" si="9"/>
        <v>2.2935779816513273</v>
      </c>
      <c r="J756" s="10" t="str">
        <f t="shared" si="10"/>
        <v>Put Spread</v>
      </c>
      <c r="K756" s="10" t="str">
        <f t="shared" ca="1" si="11"/>
        <v>Success</v>
      </c>
    </row>
    <row r="757" spans="1:11" ht="16">
      <c r="A757" s="1" t="s">
        <v>776</v>
      </c>
      <c r="B757" s="1" t="s">
        <v>14</v>
      </c>
      <c r="C757" s="8">
        <v>559.72</v>
      </c>
      <c r="D757" s="8" t="s">
        <v>15</v>
      </c>
      <c r="E757" s="8">
        <v>525.26</v>
      </c>
      <c r="F757" s="8">
        <f ca="1">IFERROR(__xludf.DUMMYFUNCTION("INDEX(GOOGLEFINANCE(A757, ""open"", DATE(2025,2,3), DATE(2025,2,3)), 2, 2)"),542)</f>
        <v>542</v>
      </c>
      <c r="G757" s="8">
        <f ca="1">IFERROR(__xludf.DUMMYFUNCTION("INDEX(GOOGLEFINANCE(A757, ""close"", DATE(2025,2,7), DATE(2025,2,7)), 2, 2)"),527.03)</f>
        <v>527.03</v>
      </c>
      <c r="H757" s="9">
        <f t="shared" ca="1" si="8"/>
        <v>-2.7619926199262044</v>
      </c>
      <c r="I757" s="10">
        <f t="shared" ca="1" si="9"/>
        <v>-27.619926199262046</v>
      </c>
      <c r="J757" s="10" t="str">
        <f t="shared" si="10"/>
        <v>Put Spread</v>
      </c>
      <c r="K757" s="10" t="str">
        <f t="shared" ca="1" si="11"/>
        <v>Success</v>
      </c>
    </row>
    <row r="758" spans="1:11" ht="16">
      <c r="A758" s="1" t="s">
        <v>777</v>
      </c>
      <c r="B758" s="1" t="s">
        <v>14</v>
      </c>
      <c r="C758" s="8">
        <v>254.32</v>
      </c>
      <c r="D758" s="8" t="s">
        <v>15</v>
      </c>
      <c r="E758" s="8">
        <v>241.26</v>
      </c>
      <c r="F758" s="8">
        <f ca="1">IFERROR(__xludf.DUMMYFUNCTION("INDEX(GOOGLEFINANCE(A758, ""open"", DATE(2025,2,3), DATE(2025,2,3)), 2, 2)"),242.23)</f>
        <v>242.23</v>
      </c>
      <c r="G758" s="8">
        <f ca="1">IFERROR(__xludf.DUMMYFUNCTION("INDEX(GOOGLEFINANCE(A758, ""close"", DATE(2025,2,7), DATE(2025,2,7)), 2, 2)"),242.08)</f>
        <v>242.08</v>
      </c>
      <c r="H758" s="9">
        <f t="shared" ca="1" si="8"/>
        <v>-6.1924617099441553E-2</v>
      </c>
      <c r="I758" s="10">
        <f t="shared" ca="1" si="9"/>
        <v>-0.61924617099441559</v>
      </c>
      <c r="J758" s="10" t="str">
        <f t="shared" si="10"/>
        <v>Put Spread</v>
      </c>
      <c r="K758" s="10" t="str">
        <f t="shared" ca="1" si="11"/>
        <v>Success</v>
      </c>
    </row>
    <row r="759" spans="1:11" ht="16">
      <c r="A759" s="1" t="s">
        <v>778</v>
      </c>
      <c r="B759" s="1" t="s">
        <v>14</v>
      </c>
      <c r="C759" s="8">
        <v>1.97</v>
      </c>
      <c r="D759" s="8" t="s">
        <v>15</v>
      </c>
      <c r="E759" s="8">
        <v>1.1499999999999999</v>
      </c>
      <c r="F759" s="8">
        <f ca="1">IFERROR(__xludf.DUMMYFUNCTION("INDEX(GOOGLEFINANCE(A759, ""open"", DATE(2025,2,3), DATE(2025,2,3)), 2, 2)"),1.55)</f>
        <v>1.55</v>
      </c>
      <c r="G759" s="8">
        <f ca="1">IFERROR(__xludf.DUMMYFUNCTION("INDEX(GOOGLEFINANCE(A759, ""close"", DATE(2025,2,7), DATE(2025,2,7)), 2, 2)"),1.48)</f>
        <v>1.48</v>
      </c>
      <c r="H759" s="9">
        <f t="shared" ca="1" si="8"/>
        <v>-4.5161290322580685</v>
      </c>
      <c r="I759" s="10">
        <f t="shared" ca="1" si="9"/>
        <v>-45.16129032258069</v>
      </c>
      <c r="J759" s="10" t="str">
        <f t="shared" si="10"/>
        <v>Put Spread</v>
      </c>
      <c r="K759" s="10" t="str">
        <f t="shared" ca="1" si="11"/>
        <v>Success</v>
      </c>
    </row>
    <row r="760" spans="1:11" ht="16">
      <c r="A760" s="1" t="s">
        <v>779</v>
      </c>
      <c r="B760" s="1" t="s">
        <v>14</v>
      </c>
      <c r="C760" s="8">
        <v>99.74</v>
      </c>
      <c r="D760" s="8" t="s">
        <v>15</v>
      </c>
      <c r="E760" s="8">
        <v>89.4</v>
      </c>
      <c r="F760" s="8">
        <f ca="1">IFERROR(__xludf.DUMMYFUNCTION("INDEX(GOOGLEFINANCE(A760, ""open"", DATE(2025,2,3), DATE(2025,2,3)), 2, 2)"),90.28)</f>
        <v>90.28</v>
      </c>
      <c r="G760" s="8">
        <f ca="1">IFERROR(__xludf.DUMMYFUNCTION("INDEX(GOOGLEFINANCE(A760, ""close"", DATE(2025,2,7), DATE(2025,2,7)), 2, 2)"),93.84)</f>
        <v>93.84</v>
      </c>
      <c r="H760" s="9">
        <f t="shared" ca="1" si="8"/>
        <v>3.9432875498449294</v>
      </c>
      <c r="I760" s="10">
        <f t="shared" ca="1" si="9"/>
        <v>39.432875498449292</v>
      </c>
      <c r="J760" s="10" t="str">
        <f t="shared" si="10"/>
        <v>Put Spread</v>
      </c>
      <c r="K760" s="10" t="str">
        <f t="shared" ca="1" si="11"/>
        <v>Success</v>
      </c>
    </row>
    <row r="761" spans="1:11" ht="16">
      <c r="A761" s="1" t="s">
        <v>780</v>
      </c>
      <c r="B761" s="1" t="s">
        <v>14</v>
      </c>
      <c r="C761" s="8">
        <v>117.75</v>
      </c>
      <c r="D761" s="8" t="s">
        <v>15</v>
      </c>
      <c r="E761" s="8">
        <v>110.71</v>
      </c>
      <c r="F761" s="8">
        <f ca="1">IFERROR(__xludf.DUMMYFUNCTION("INDEX(GOOGLEFINANCE(A761, ""open"", DATE(2025,2,3), DATE(2025,2,3)), 2, 2)"),112.33)</f>
        <v>112.33</v>
      </c>
      <c r="G761" s="8">
        <f ca="1">IFERROR(__xludf.DUMMYFUNCTION("INDEX(GOOGLEFINANCE(A761, ""close"", DATE(2025,2,7), DATE(2025,2,7)), 2, 2)"),113.11)</f>
        <v>113.11</v>
      </c>
      <c r="H761" s="9">
        <f t="shared" ca="1" si="8"/>
        <v>0.6943826226297527</v>
      </c>
      <c r="I761" s="10">
        <f t="shared" ca="1" si="9"/>
        <v>6.9438262262975279</v>
      </c>
      <c r="J761" s="10" t="str">
        <f t="shared" si="10"/>
        <v>Put Spread</v>
      </c>
      <c r="K761" s="10" t="str">
        <f t="shared" ca="1" si="11"/>
        <v>Success</v>
      </c>
    </row>
    <row r="762" spans="1:11" ht="16">
      <c r="A762" s="1" t="s">
        <v>781</v>
      </c>
      <c r="B762" s="1" t="s">
        <v>14</v>
      </c>
      <c r="C762" s="8">
        <v>73.989999999999995</v>
      </c>
      <c r="D762" s="8" t="s">
        <v>15</v>
      </c>
      <c r="E762" s="8">
        <v>55.5</v>
      </c>
      <c r="F762" s="8">
        <f ca="1">IFERROR(__xludf.DUMMYFUNCTION("INDEX(GOOGLEFINANCE(A762, ""open"", DATE(2025,2,3), DATE(2025,2,3)), 2, 2)"),61.3)</f>
        <v>61.3</v>
      </c>
      <c r="G762" s="8">
        <f ca="1">IFERROR(__xludf.DUMMYFUNCTION("INDEX(GOOGLEFINANCE(A762, ""close"", DATE(2025,2,7), DATE(2025,2,7)), 2, 2)"),68.85)</f>
        <v>68.849999999999994</v>
      </c>
      <c r="H762" s="9">
        <f t="shared" ca="1" si="8"/>
        <v>12.316476345840126</v>
      </c>
      <c r="I762" s="10">
        <f t="shared" ca="1" si="9"/>
        <v>123.16476345840127</v>
      </c>
      <c r="J762" s="10" t="str">
        <f t="shared" si="10"/>
        <v>Put Spread</v>
      </c>
      <c r="K762" s="10" t="str">
        <f t="shared" ca="1" si="11"/>
        <v>Success</v>
      </c>
    </row>
    <row r="763" spans="1:11" ht="16">
      <c r="A763" s="1" t="s">
        <v>782</v>
      </c>
      <c r="B763" s="1" t="s">
        <v>14</v>
      </c>
      <c r="C763" s="8">
        <v>17.329999999999998</v>
      </c>
      <c r="D763" s="8" t="s">
        <v>15</v>
      </c>
      <c r="E763" s="8">
        <v>14.19</v>
      </c>
      <c r="F763" s="8">
        <f ca="1">IFERROR(__xludf.DUMMYFUNCTION("INDEX(GOOGLEFINANCE(A763, ""open"", DATE(2025,2,3), DATE(2025,2,3)), 2, 2)"),15.41)</f>
        <v>15.41</v>
      </c>
      <c r="G763" s="8">
        <f ca="1">IFERROR(__xludf.DUMMYFUNCTION("INDEX(GOOGLEFINANCE(A763, ""close"", DATE(2025,2,7), DATE(2025,2,7)), 2, 2)"),15.77)</f>
        <v>15.77</v>
      </c>
      <c r="H763" s="9">
        <f t="shared" ca="1" si="8"/>
        <v>2.3361453601557391</v>
      </c>
      <c r="I763" s="10">
        <f t="shared" ca="1" si="9"/>
        <v>23.36145360155739</v>
      </c>
      <c r="J763" s="10" t="str">
        <f t="shared" si="10"/>
        <v>Put Spread</v>
      </c>
      <c r="K763" s="10" t="str">
        <f t="shared" ca="1" si="11"/>
        <v>Success</v>
      </c>
    </row>
    <row r="764" spans="1:11" ht="16">
      <c r="A764" s="1" t="s">
        <v>783</v>
      </c>
      <c r="B764" s="1" t="s">
        <v>14</v>
      </c>
      <c r="C764" s="8">
        <v>790.39</v>
      </c>
      <c r="D764" s="8" t="s">
        <v>15</v>
      </c>
      <c r="E764" s="8">
        <v>725.73</v>
      </c>
      <c r="F764" s="8">
        <f ca="1">IFERROR(__xludf.DUMMYFUNCTION("INDEX(GOOGLEFINANCE(A764, ""open"", DATE(2025,2,3), DATE(2025,2,3)), 2, 2)"),738.89)</f>
        <v>738.89</v>
      </c>
      <c r="G764" s="8">
        <f ca="1">IFERROR(__xludf.DUMMYFUNCTION("INDEX(GOOGLEFINANCE(A764, ""close"", DATE(2025,2,7), DATE(2025,2,7)), 2, 2)"),740.7)</f>
        <v>740.7</v>
      </c>
      <c r="H764" s="9">
        <f t="shared" ca="1" si="8"/>
        <v>0.24496203765107921</v>
      </c>
      <c r="I764" s="10">
        <f t="shared" ca="1" si="9"/>
        <v>2.4496203765107922</v>
      </c>
      <c r="J764" s="10" t="str">
        <f t="shared" si="10"/>
        <v>Put Spread</v>
      </c>
      <c r="K764" s="10" t="str">
        <f t="shared" ca="1" si="11"/>
        <v>Success</v>
      </c>
    </row>
    <row r="765" spans="1:11" ht="16">
      <c r="A765" s="1" t="s">
        <v>784</v>
      </c>
      <c r="B765" s="1" t="s">
        <v>14</v>
      </c>
      <c r="C765" s="8">
        <v>20.78</v>
      </c>
      <c r="D765" s="8" t="s">
        <v>15</v>
      </c>
      <c r="E765" s="8">
        <v>18.260000000000002</v>
      </c>
      <c r="F765" s="8">
        <f ca="1">IFERROR(__xludf.DUMMYFUNCTION("INDEX(GOOGLEFINANCE(A765, ""open"", DATE(2025,2,3), DATE(2025,2,3)), 2, 2)"),18.9)</f>
        <v>18.899999999999999</v>
      </c>
      <c r="G765" s="8">
        <f ca="1">IFERROR(__xludf.DUMMYFUNCTION("INDEX(GOOGLEFINANCE(A765, ""close"", DATE(2025,2,7), DATE(2025,2,7)), 2, 2)"),19.36)</f>
        <v>19.36</v>
      </c>
      <c r="H765" s="9">
        <f t="shared" ca="1" si="8"/>
        <v>2.4338624338624384</v>
      </c>
      <c r="I765" s="10">
        <f t="shared" ca="1" si="9"/>
        <v>24.338624338624385</v>
      </c>
      <c r="J765" s="10" t="str">
        <f t="shared" si="10"/>
        <v>Put Spread</v>
      </c>
      <c r="K765" s="10" t="str">
        <f t="shared" ca="1" si="11"/>
        <v>Success</v>
      </c>
    </row>
    <row r="766" spans="1:11" ht="16">
      <c r="A766" s="1" t="s">
        <v>785</v>
      </c>
      <c r="B766" s="1" t="s">
        <v>14</v>
      </c>
      <c r="C766" s="8">
        <v>42.44</v>
      </c>
      <c r="D766" s="8" t="s">
        <v>15</v>
      </c>
      <c r="E766" s="8">
        <v>38.74</v>
      </c>
      <c r="F766" s="8">
        <f ca="1">IFERROR(__xludf.DUMMYFUNCTION("INDEX(GOOGLEFINANCE(A766, ""open"", DATE(2025,2,3), DATE(2025,2,3)), 2, 2)"),39.59)</f>
        <v>39.590000000000003</v>
      </c>
      <c r="G766" s="8">
        <f ca="1">IFERROR(__xludf.DUMMYFUNCTION("INDEX(GOOGLEFINANCE(A766, ""close"", DATE(2025,2,7), DATE(2025,2,7)), 2, 2)"),40.46)</f>
        <v>40.46</v>
      </c>
      <c r="H766" s="9">
        <f t="shared" ca="1" si="8"/>
        <v>2.1975246274311631</v>
      </c>
      <c r="I766" s="10">
        <f t="shared" ca="1" si="9"/>
        <v>21.97524627431163</v>
      </c>
      <c r="J766" s="10" t="str">
        <f t="shared" si="10"/>
        <v>Put Spread</v>
      </c>
      <c r="K766" s="10" t="str">
        <f t="shared" ca="1" si="11"/>
        <v>Success</v>
      </c>
    </row>
    <row r="767" spans="1:11" ht="16">
      <c r="A767" s="1" t="s">
        <v>786</v>
      </c>
      <c r="B767" s="1" t="s">
        <v>38</v>
      </c>
      <c r="C767" s="8">
        <v>48.5</v>
      </c>
      <c r="D767" s="8" t="s">
        <v>39</v>
      </c>
      <c r="E767" s="8">
        <v>55.76</v>
      </c>
      <c r="F767" s="8">
        <f ca="1">IFERROR(__xludf.DUMMYFUNCTION("INDEX(GOOGLEFINANCE(A767, ""open"", DATE(2025,2,3), DATE(2025,2,3)), 2, 2)"),48.73)</f>
        <v>48.73</v>
      </c>
      <c r="G767" s="8">
        <f ca="1">IFERROR(__xludf.DUMMYFUNCTION("INDEX(GOOGLEFINANCE(A767, ""close"", DATE(2025,2,7), DATE(2025,2,7)), 2, 2)"),51.57)</f>
        <v>51.57</v>
      </c>
      <c r="H767" s="9">
        <f t="shared" ca="1" si="8"/>
        <v>-5.8280320131336012</v>
      </c>
      <c r="I767" s="10">
        <f t="shared" ca="1" si="9"/>
        <v>-58.280320131336012</v>
      </c>
      <c r="J767" s="10" t="str">
        <f t="shared" si="10"/>
        <v>Call Spread</v>
      </c>
      <c r="K767" s="10" t="str">
        <f t="shared" ca="1" si="11"/>
        <v>Success</v>
      </c>
    </row>
    <row r="768" spans="1:11" ht="16">
      <c r="A768" s="1" t="s">
        <v>787</v>
      </c>
      <c r="B768" s="1" t="s">
        <v>14</v>
      </c>
      <c r="C768" s="8">
        <v>49.5</v>
      </c>
      <c r="D768" s="8" t="s">
        <v>15</v>
      </c>
      <c r="E768" s="8">
        <v>46.06</v>
      </c>
      <c r="F768" s="8">
        <f ca="1">IFERROR(__xludf.DUMMYFUNCTION("INDEX(GOOGLEFINANCE(A768, ""open"", DATE(2025,2,3), DATE(2025,2,3)), 2, 2)"),46.84)</f>
        <v>46.84</v>
      </c>
      <c r="G768" s="8">
        <f ca="1">IFERROR(__xludf.DUMMYFUNCTION("INDEX(GOOGLEFINANCE(A768, ""close"", DATE(2025,2,7), DATE(2025,2,7)), 2, 2)"),47.23)</f>
        <v>47.23</v>
      </c>
      <c r="H768" s="9">
        <f t="shared" ref="H768:H867" ca="1" si="12">IF(B768="Bullish",((G768-F768)/F768*100),((F768-G768)/F768*100))</f>
        <v>0.8326216908624966</v>
      </c>
      <c r="I768" s="10">
        <f t="shared" ref="I768:I867" ca="1" si="13">1000*H768/100</f>
        <v>8.326216908624966</v>
      </c>
      <c r="J768" s="10" t="str">
        <f t="shared" ref="J768:J867" si="14">IF(B768="Bullish","Put Spread","Call Spread")</f>
        <v>Put Spread</v>
      </c>
      <c r="K768" s="10" t="str">
        <f t="shared" ref="K768:K867" ca="1" si="15">IF(B768="Bullish",IF(G768-E768&gt;0,"Success","No"),IF(B768="Bearish",IF(E768-G768&gt;0,"Success","No")))</f>
        <v>Success</v>
      </c>
    </row>
    <row r="769" spans="1:11" ht="16">
      <c r="A769" s="1" t="s">
        <v>788</v>
      </c>
      <c r="B769" s="1" t="s">
        <v>14</v>
      </c>
      <c r="C769" s="8">
        <v>61.84</v>
      </c>
      <c r="D769" s="8" t="s">
        <v>15</v>
      </c>
      <c r="E769" s="8">
        <v>48.74</v>
      </c>
      <c r="F769" s="8">
        <f ca="1">IFERROR(__xludf.DUMMYFUNCTION("INDEX(GOOGLEFINANCE(A769, ""open"", DATE(2025,2,3), DATE(2025,2,3)), 2, 2)"),51.24)</f>
        <v>51.24</v>
      </c>
      <c r="G769" s="8">
        <f ca="1">IFERROR(__xludf.DUMMYFUNCTION("INDEX(GOOGLEFINANCE(A769, ""close"", DATE(2025,2,7), DATE(2025,2,7)), 2, 2)"),59.77)</f>
        <v>59.77</v>
      </c>
      <c r="H769" s="9">
        <f t="shared" ca="1" si="12"/>
        <v>16.647150663544107</v>
      </c>
      <c r="I769" s="10">
        <f t="shared" ca="1" si="13"/>
        <v>166.47150663544107</v>
      </c>
      <c r="J769" s="10" t="str">
        <f t="shared" si="14"/>
        <v>Put Spread</v>
      </c>
      <c r="K769" s="10" t="str">
        <f t="shared" ca="1" si="15"/>
        <v>Success</v>
      </c>
    </row>
    <row r="770" spans="1:11" ht="16">
      <c r="A770" s="1" t="s">
        <v>789</v>
      </c>
      <c r="B770" s="1" t="s">
        <v>14</v>
      </c>
      <c r="C770" s="8">
        <v>81.06</v>
      </c>
      <c r="D770" s="8" t="s">
        <v>15</v>
      </c>
      <c r="E770" s="8">
        <v>74.98</v>
      </c>
      <c r="F770" s="8">
        <f ca="1">IFERROR(__xludf.DUMMYFUNCTION("INDEX(GOOGLEFINANCE(A770, ""open"", DATE(2025,2,3), DATE(2025,2,3)), 2, 2)"),78.42)</f>
        <v>78.42</v>
      </c>
      <c r="G770" s="8">
        <f ca="1">IFERROR(__xludf.DUMMYFUNCTION("INDEX(GOOGLEFINANCE(A770, ""close"", DATE(2025,2,7), DATE(2025,2,7)), 2, 2)"),75.86)</f>
        <v>75.86</v>
      </c>
      <c r="H770" s="9">
        <f t="shared" ca="1" si="12"/>
        <v>-3.2644733486355548</v>
      </c>
      <c r="I770" s="10">
        <f t="shared" ca="1" si="13"/>
        <v>-32.644733486355548</v>
      </c>
      <c r="J770" s="10" t="str">
        <f t="shared" si="14"/>
        <v>Put Spread</v>
      </c>
      <c r="K770" s="10" t="str">
        <f t="shared" ca="1" si="15"/>
        <v>Success</v>
      </c>
    </row>
    <row r="771" spans="1:11" ht="16">
      <c r="A771" s="1" t="s">
        <v>790</v>
      </c>
      <c r="B771" s="1" t="s">
        <v>14</v>
      </c>
      <c r="C771" s="8">
        <v>32.29</v>
      </c>
      <c r="D771" s="8" t="s">
        <v>15</v>
      </c>
      <c r="E771" s="8">
        <v>26.73</v>
      </c>
      <c r="F771" s="8">
        <f ca="1">IFERROR(__xludf.DUMMYFUNCTION("INDEX(GOOGLEFINANCE(A771, ""open"", DATE(2025,2,3), DATE(2025,2,3)), 2, 2)"),29.73)</f>
        <v>29.73</v>
      </c>
      <c r="G771" s="8">
        <f ca="1">IFERROR(__xludf.DUMMYFUNCTION("INDEX(GOOGLEFINANCE(A771, ""close"", DATE(2025,2,7), DATE(2025,2,7)), 2, 2)"),29.43)</f>
        <v>29.43</v>
      </c>
      <c r="H771" s="9">
        <f t="shared" ca="1" si="12"/>
        <v>-1.0090817356205877</v>
      </c>
      <c r="I771" s="10">
        <f t="shared" ca="1" si="13"/>
        <v>-10.090817356205877</v>
      </c>
      <c r="J771" s="10" t="str">
        <f t="shared" si="14"/>
        <v>Put Spread</v>
      </c>
      <c r="K771" s="10" t="str">
        <f t="shared" ca="1" si="15"/>
        <v>Success</v>
      </c>
    </row>
    <row r="772" spans="1:11" ht="16">
      <c r="A772" s="1" t="s">
        <v>791</v>
      </c>
      <c r="B772" s="1" t="s">
        <v>14</v>
      </c>
      <c r="C772" s="8">
        <v>5.86</v>
      </c>
      <c r="D772" s="8" t="s">
        <v>15</v>
      </c>
      <c r="E772" s="8">
        <v>4.76</v>
      </c>
      <c r="F772" s="8">
        <f ca="1">IFERROR(__xludf.DUMMYFUNCTION("INDEX(GOOGLEFINANCE(A772, ""open"", DATE(2025,2,3), DATE(2025,2,3)), 2, 2)"),5.2)</f>
        <v>5.2</v>
      </c>
      <c r="G772" s="8">
        <f ca="1">IFERROR(__xludf.DUMMYFUNCTION("INDEX(GOOGLEFINANCE(A772, ""close"", DATE(2025,2,7), DATE(2025,2,7)), 2, 2)"),5.19)</f>
        <v>5.19</v>
      </c>
      <c r="H772" s="9">
        <f t="shared" ca="1" si="12"/>
        <v>-0.19230769230768821</v>
      </c>
      <c r="I772" s="10">
        <f t="shared" ca="1" si="13"/>
        <v>-1.923076923076882</v>
      </c>
      <c r="J772" s="10" t="str">
        <f t="shared" si="14"/>
        <v>Put Spread</v>
      </c>
      <c r="K772" s="10" t="str">
        <f t="shared" ca="1" si="15"/>
        <v>Success</v>
      </c>
    </row>
    <row r="773" spans="1:11" ht="16">
      <c r="A773" s="1" t="s">
        <v>792</v>
      </c>
      <c r="B773" s="1" t="s">
        <v>38</v>
      </c>
      <c r="C773" s="8">
        <v>23.54</v>
      </c>
      <c r="D773" s="8" t="s">
        <v>39</v>
      </c>
      <c r="E773" s="8">
        <v>36.96</v>
      </c>
      <c r="F773" s="8">
        <f ca="1">IFERROR(__xludf.DUMMYFUNCTION("INDEX(GOOGLEFINANCE(A773, ""open"", DATE(2025,2,3), DATE(2025,2,3)), 2, 2)"),34.41)</f>
        <v>34.409999999999997</v>
      </c>
      <c r="G773" s="8">
        <f ca="1">IFERROR(__xludf.DUMMYFUNCTION("INDEX(GOOGLEFINANCE(A773, ""close"", DATE(2025,2,7), DATE(2025,2,7)), 2, 2)"),29.81)</f>
        <v>29.81</v>
      </c>
      <c r="H773" s="9">
        <f t="shared" ca="1" si="12"/>
        <v>13.368206916594009</v>
      </c>
      <c r="I773" s="10">
        <f t="shared" ca="1" si="13"/>
        <v>133.68206916594008</v>
      </c>
      <c r="J773" s="10" t="str">
        <f t="shared" si="14"/>
        <v>Call Spread</v>
      </c>
      <c r="K773" s="10" t="str">
        <f t="shared" ca="1" si="15"/>
        <v>Success</v>
      </c>
    </row>
    <row r="774" spans="1:11" ht="16">
      <c r="A774" s="1" t="s">
        <v>793</v>
      </c>
      <c r="B774" s="1" t="s">
        <v>14</v>
      </c>
      <c r="C774" s="8">
        <v>23.26</v>
      </c>
      <c r="D774" s="8" t="s">
        <v>15</v>
      </c>
      <c r="E774" s="8">
        <v>15.48</v>
      </c>
      <c r="F774" s="8">
        <f ca="1">IFERROR(__xludf.DUMMYFUNCTION("INDEX(GOOGLEFINANCE(A774, ""open"", DATE(2025,2,3), DATE(2025,2,3)), 2, 2)"),21.4)</f>
        <v>21.4</v>
      </c>
      <c r="G774" s="8">
        <f ca="1">IFERROR(__xludf.DUMMYFUNCTION("INDEX(GOOGLEFINANCE(A774, ""close"", DATE(2025,2,7), DATE(2025,2,7)), 2, 2)"),19.19)</f>
        <v>19.190000000000001</v>
      </c>
      <c r="H774" s="9">
        <f t="shared" ca="1" si="12"/>
        <v>-10.327102803738306</v>
      </c>
      <c r="I774" s="10">
        <f t="shared" ca="1" si="13"/>
        <v>-103.27102803738306</v>
      </c>
      <c r="J774" s="10" t="str">
        <f t="shared" si="14"/>
        <v>Put Spread</v>
      </c>
      <c r="K774" s="10" t="str">
        <f t="shared" ca="1" si="15"/>
        <v>Success</v>
      </c>
    </row>
    <row r="775" spans="1:11" ht="16">
      <c r="A775" s="1" t="s">
        <v>794</v>
      </c>
      <c r="B775" s="1" t="s">
        <v>14</v>
      </c>
      <c r="C775" s="8">
        <v>350.34</v>
      </c>
      <c r="D775" s="8" t="s">
        <v>15</v>
      </c>
      <c r="E775" s="8">
        <v>333.26</v>
      </c>
      <c r="F775" s="8">
        <f ca="1">IFERROR(__xludf.DUMMYFUNCTION("INDEX(GOOGLEFINANCE(A775, ""open"", DATE(2025,2,3), DATE(2025,2,3)), 2, 2)"),340)</f>
        <v>340</v>
      </c>
      <c r="G775" s="8">
        <f ca="1">IFERROR(__xludf.DUMMYFUNCTION("INDEX(GOOGLEFINANCE(A775, ""close"", DATE(2025,2,7), DATE(2025,2,7)), 2, 2)"),348.02)</f>
        <v>348.02</v>
      </c>
      <c r="H775" s="9">
        <f t="shared" ca="1" si="12"/>
        <v>2.3588235294117594</v>
      </c>
      <c r="I775" s="10">
        <f t="shared" ca="1" si="13"/>
        <v>23.588235294117595</v>
      </c>
      <c r="J775" s="10" t="str">
        <f t="shared" si="14"/>
        <v>Put Spread</v>
      </c>
      <c r="K775" s="10" t="str">
        <f t="shared" ca="1" si="15"/>
        <v>Success</v>
      </c>
    </row>
    <row r="776" spans="1:11" ht="16">
      <c r="A776" s="1" t="s">
        <v>795</v>
      </c>
      <c r="B776" s="1" t="s">
        <v>14</v>
      </c>
      <c r="C776" s="8">
        <v>12.26</v>
      </c>
      <c r="D776" s="8" t="s">
        <v>15</v>
      </c>
      <c r="E776" s="8">
        <v>6.32</v>
      </c>
      <c r="F776" s="8">
        <f ca="1">IFERROR(__xludf.DUMMYFUNCTION("INDEX(GOOGLEFINANCE(A776, ""open"", DATE(2025,2,3), DATE(2025,2,3)), 2, 2)"),9.16)</f>
        <v>9.16</v>
      </c>
      <c r="G776" s="8">
        <f ca="1">IFERROR(__xludf.DUMMYFUNCTION("INDEX(GOOGLEFINANCE(A776, ""close"", DATE(2025,2,7), DATE(2025,2,7)), 2, 2)"),9.47)</f>
        <v>9.4700000000000006</v>
      </c>
      <c r="H776" s="9">
        <f t="shared" ca="1" si="12"/>
        <v>3.3842794759825381</v>
      </c>
      <c r="I776" s="10">
        <f t="shared" ca="1" si="13"/>
        <v>33.842794759825381</v>
      </c>
      <c r="J776" s="10" t="str">
        <f t="shared" si="14"/>
        <v>Put Spread</v>
      </c>
      <c r="K776" s="10" t="str">
        <f t="shared" ca="1" si="15"/>
        <v>Success</v>
      </c>
    </row>
    <row r="777" spans="1:11" ht="16">
      <c r="A777" s="1" t="s">
        <v>796</v>
      </c>
      <c r="B777" s="1" t="s">
        <v>14</v>
      </c>
      <c r="C777" s="8">
        <v>256.60000000000002</v>
      </c>
      <c r="D777" s="8" t="s">
        <v>15</v>
      </c>
      <c r="E777" s="8">
        <v>242.68</v>
      </c>
      <c r="F777" s="8">
        <f ca="1">IFERROR(__xludf.DUMMYFUNCTION("INDEX(GOOGLEFINANCE(A777, ""open"", DATE(2025,2,3), DATE(2025,2,3)), 2, 2)"),244.3)</f>
        <v>244.3</v>
      </c>
      <c r="G777" s="8">
        <f ca="1">IFERROR(__xludf.DUMMYFUNCTION("INDEX(GOOGLEFINANCE(A777, ""close"", DATE(2025,2,7), DATE(2025,2,7)), 2, 2)"),247.71)</f>
        <v>247.71</v>
      </c>
      <c r="H777" s="9">
        <f t="shared" ca="1" si="12"/>
        <v>1.3958248055669245</v>
      </c>
      <c r="I777" s="10">
        <f t="shared" ca="1" si="13"/>
        <v>13.958248055669245</v>
      </c>
      <c r="J777" s="10" t="str">
        <f t="shared" si="14"/>
        <v>Put Spread</v>
      </c>
      <c r="K777" s="10" t="str">
        <f t="shared" ca="1" si="15"/>
        <v>Success</v>
      </c>
    </row>
    <row r="778" spans="1:11" ht="16">
      <c r="A778" s="1" t="s">
        <v>797</v>
      </c>
      <c r="B778" s="1" t="s">
        <v>14</v>
      </c>
      <c r="C778" s="8">
        <v>50.96</v>
      </c>
      <c r="D778" s="8" t="s">
        <v>15</v>
      </c>
      <c r="E778" s="8">
        <v>48.92</v>
      </c>
      <c r="F778" s="8">
        <f ca="1">IFERROR(__xludf.DUMMYFUNCTION("INDEX(GOOGLEFINANCE(A778, ""open"", DATE(2025,2,3), DATE(2025,2,3)), 2, 2)"),49.01)</f>
        <v>49.01</v>
      </c>
      <c r="G778" s="8">
        <f ca="1">IFERROR(__xludf.DUMMYFUNCTION("INDEX(GOOGLEFINANCE(A778, ""close"", DATE(2025,2,7), DATE(2025,2,7)), 2, 2)"),50.21)</f>
        <v>50.21</v>
      </c>
      <c r="H778" s="9">
        <f t="shared" ca="1" si="12"/>
        <v>2.4484799020608095</v>
      </c>
      <c r="I778" s="10">
        <f t="shared" ca="1" si="13"/>
        <v>24.484799020608094</v>
      </c>
      <c r="J778" s="10" t="str">
        <f t="shared" si="14"/>
        <v>Put Spread</v>
      </c>
      <c r="K778" s="10" t="str">
        <f t="shared" ca="1" si="15"/>
        <v>Success</v>
      </c>
    </row>
    <row r="779" spans="1:11" ht="16">
      <c r="A779" s="1" t="s">
        <v>798</v>
      </c>
      <c r="B779" s="1" t="s">
        <v>14</v>
      </c>
      <c r="C779" s="8">
        <v>3.66</v>
      </c>
      <c r="D779" s="8" t="s">
        <v>15</v>
      </c>
      <c r="E779" s="8">
        <v>2.44</v>
      </c>
      <c r="F779" s="8">
        <f ca="1">IFERROR(__xludf.DUMMYFUNCTION("INDEX(GOOGLEFINANCE(A779, ""open"", DATE(2025,2,3), DATE(2025,2,3)), 2, 2)"),2.91)</f>
        <v>2.91</v>
      </c>
      <c r="G779" s="8">
        <f ca="1">IFERROR(__xludf.DUMMYFUNCTION("INDEX(GOOGLEFINANCE(A779, ""close"", DATE(2025,2,7), DATE(2025,2,7)), 2, 2)"),3.5)</f>
        <v>3.5</v>
      </c>
      <c r="H779" s="9">
        <f t="shared" ca="1" si="12"/>
        <v>20.274914089347075</v>
      </c>
      <c r="I779" s="10">
        <f t="shared" ca="1" si="13"/>
        <v>202.74914089347075</v>
      </c>
      <c r="J779" s="10" t="str">
        <f t="shared" si="14"/>
        <v>Put Spread</v>
      </c>
      <c r="K779" s="10" t="str">
        <f t="shared" ca="1" si="15"/>
        <v>Success</v>
      </c>
    </row>
    <row r="780" spans="1:11" ht="16">
      <c r="A780" s="1" t="s">
        <v>799</v>
      </c>
      <c r="B780" s="1" t="s">
        <v>14</v>
      </c>
      <c r="C780" s="8">
        <v>27.8</v>
      </c>
      <c r="D780" s="8" t="s">
        <v>15</v>
      </c>
      <c r="E780" s="8">
        <v>24.14</v>
      </c>
      <c r="F780" s="8">
        <f ca="1">IFERROR(__xludf.DUMMYFUNCTION("INDEX(GOOGLEFINANCE(A780, ""open"", DATE(2025,2,3), DATE(2025,2,3)), 2, 2)"),25.24)</f>
        <v>25.24</v>
      </c>
      <c r="G780" s="8">
        <f ca="1">IFERROR(__xludf.DUMMYFUNCTION("INDEX(GOOGLEFINANCE(A780, ""close"", DATE(2025,2,7), DATE(2025,2,7)), 2, 2)"),23.92)</f>
        <v>23.92</v>
      </c>
      <c r="H780" s="9">
        <f t="shared" ca="1" si="12"/>
        <v>-5.2297939778129825</v>
      </c>
      <c r="I780" s="10">
        <f t="shared" ca="1" si="13"/>
        <v>-52.297939778129823</v>
      </c>
      <c r="J780" s="10" t="str">
        <f t="shared" si="14"/>
        <v>Put Spread</v>
      </c>
      <c r="K780" s="10" t="str">
        <f t="shared" ca="1" si="15"/>
        <v>No</v>
      </c>
    </row>
    <row r="781" spans="1:11" ht="16">
      <c r="A781" s="1" t="s">
        <v>800</v>
      </c>
      <c r="B781" s="1" t="s">
        <v>38</v>
      </c>
      <c r="C781" s="8">
        <v>3.45</v>
      </c>
      <c r="D781" s="8" t="s">
        <v>39</v>
      </c>
      <c r="E781" s="8">
        <v>4.3499999999999996</v>
      </c>
      <c r="F781" s="8">
        <f ca="1">IFERROR(__xludf.DUMMYFUNCTION("INDEX(GOOGLEFINANCE(A781, ""open"", DATE(2025,2,3), DATE(2025,2,3)), 2, 2)"),3.8)</f>
        <v>3.8</v>
      </c>
      <c r="G781" s="8">
        <f ca="1">IFERROR(__xludf.DUMMYFUNCTION("INDEX(GOOGLEFINANCE(A781, ""close"", DATE(2025,2,7), DATE(2025,2,7)), 2, 2)"),3.8)</f>
        <v>3.8</v>
      </c>
      <c r="H781" s="9">
        <f t="shared" ca="1" si="12"/>
        <v>0</v>
      </c>
      <c r="I781" s="10">
        <f t="shared" ca="1" si="13"/>
        <v>0</v>
      </c>
      <c r="J781" s="10" t="str">
        <f t="shared" si="14"/>
        <v>Call Spread</v>
      </c>
      <c r="K781" s="10" t="str">
        <f t="shared" ca="1" si="15"/>
        <v>Success</v>
      </c>
    </row>
    <row r="782" spans="1:11" ht="16">
      <c r="A782" s="1" t="s">
        <v>801</v>
      </c>
      <c r="B782" s="1" t="s">
        <v>14</v>
      </c>
      <c r="C782" s="8">
        <v>68.849999999999994</v>
      </c>
      <c r="D782" s="8" t="s">
        <v>15</v>
      </c>
      <c r="E782" s="8">
        <v>66.150000000000006</v>
      </c>
      <c r="F782" s="8">
        <f ca="1">IFERROR(__xludf.DUMMYFUNCTION("INDEX(GOOGLEFINANCE(A782, ""open"", DATE(2025,2,3), DATE(2025,2,3)), 2, 2)"),66.16)</f>
        <v>66.16</v>
      </c>
      <c r="G782" s="8">
        <f ca="1">IFERROR(__xludf.DUMMYFUNCTION("INDEX(GOOGLEFINANCE(A782, ""close"", DATE(2025,2,7), DATE(2025,2,7)), 2, 2)"),67.75)</f>
        <v>67.75</v>
      </c>
      <c r="H782" s="9">
        <f t="shared" ca="1" si="12"/>
        <v>2.4032648125755793</v>
      </c>
      <c r="I782" s="10">
        <f t="shared" ca="1" si="13"/>
        <v>24.032648125755795</v>
      </c>
      <c r="J782" s="10" t="str">
        <f t="shared" si="14"/>
        <v>Put Spread</v>
      </c>
      <c r="K782" s="10" t="str">
        <f t="shared" ca="1" si="15"/>
        <v>Success</v>
      </c>
    </row>
    <row r="783" spans="1:11" ht="16">
      <c r="A783" s="1" t="s">
        <v>802</v>
      </c>
      <c r="B783" s="1" t="s">
        <v>14</v>
      </c>
      <c r="C783" s="8">
        <v>635.89</v>
      </c>
      <c r="D783" s="8" t="s">
        <v>15</v>
      </c>
      <c r="E783" s="8">
        <v>597.33000000000004</v>
      </c>
      <c r="F783" s="8">
        <f ca="1">IFERROR(__xludf.DUMMYFUNCTION("INDEX(GOOGLEFINANCE(A783, ""open"", DATE(2025,2,3), DATE(2025,2,3)), 2, 2)"),601.51)</f>
        <v>601.51</v>
      </c>
      <c r="G783" s="8">
        <f ca="1">IFERROR(__xludf.DUMMYFUNCTION("INDEX(GOOGLEFINANCE(A783, ""close"", DATE(2025,2,7), DATE(2025,2,7)), 2, 2)"),621.05)</f>
        <v>621.04999999999995</v>
      </c>
      <c r="H783" s="9">
        <f t="shared" ca="1" si="12"/>
        <v>3.2484912969027882</v>
      </c>
      <c r="I783" s="10">
        <f t="shared" ca="1" si="13"/>
        <v>32.484912969027882</v>
      </c>
      <c r="J783" s="10" t="str">
        <f t="shared" si="14"/>
        <v>Put Spread</v>
      </c>
      <c r="K783" s="10" t="str">
        <f t="shared" ca="1" si="15"/>
        <v>Success</v>
      </c>
    </row>
    <row r="784" spans="1:11" ht="16">
      <c r="A784" s="1" t="s">
        <v>803</v>
      </c>
      <c r="B784" s="1" t="s">
        <v>14</v>
      </c>
      <c r="C784" s="8">
        <v>33.299999999999997</v>
      </c>
      <c r="D784" s="8" t="s">
        <v>15</v>
      </c>
      <c r="E784" s="8">
        <v>31.14</v>
      </c>
      <c r="F784" s="8">
        <f ca="1">IFERROR(__xludf.DUMMYFUNCTION("INDEX(GOOGLEFINANCE(A784, ""open"", DATE(2025,2,3), DATE(2025,2,3)), 2, 2)"),31.98)</f>
        <v>31.98</v>
      </c>
      <c r="G784" s="8">
        <f ca="1">IFERROR(__xludf.DUMMYFUNCTION("INDEX(GOOGLEFINANCE(A784, ""close"", DATE(2025,2,7), DATE(2025,2,7)), 2, 2)"),33.2)</f>
        <v>33.200000000000003</v>
      </c>
      <c r="H784" s="9">
        <f t="shared" ca="1" si="12"/>
        <v>3.8148843026891881</v>
      </c>
      <c r="I784" s="10">
        <f t="shared" ca="1" si="13"/>
        <v>38.148843026891882</v>
      </c>
      <c r="J784" s="10" t="str">
        <f t="shared" si="14"/>
        <v>Put Spread</v>
      </c>
      <c r="K784" s="10" t="str">
        <f t="shared" ca="1" si="15"/>
        <v>Success</v>
      </c>
    </row>
    <row r="785" spans="1:11" ht="16">
      <c r="A785" s="1" t="s">
        <v>804</v>
      </c>
      <c r="B785" s="1" t="s">
        <v>14</v>
      </c>
      <c r="C785" s="8">
        <v>30.63</v>
      </c>
      <c r="D785" s="8" t="s">
        <v>15</v>
      </c>
      <c r="E785" s="8">
        <v>28.91</v>
      </c>
      <c r="F785" s="8">
        <f ca="1">IFERROR(__xludf.DUMMYFUNCTION("INDEX(GOOGLEFINANCE(A785, ""open"", DATE(2025,2,3), DATE(2025,2,3)), 2, 2)"),29.51)</f>
        <v>29.51</v>
      </c>
      <c r="G785" s="8">
        <f ca="1">IFERROR(__xludf.DUMMYFUNCTION("INDEX(GOOGLEFINANCE(A785, ""close"", DATE(2025,2,7), DATE(2025,2,7)), 2, 2)"),30.11)</f>
        <v>30.11</v>
      </c>
      <c r="H785" s="9">
        <f t="shared" ca="1" si="12"/>
        <v>2.0332090816672239</v>
      </c>
      <c r="I785" s="10">
        <f t="shared" ca="1" si="13"/>
        <v>20.332090816672238</v>
      </c>
      <c r="J785" s="10" t="str">
        <f t="shared" si="14"/>
        <v>Put Spread</v>
      </c>
      <c r="K785" s="10" t="str">
        <f t="shared" ca="1" si="15"/>
        <v>Success</v>
      </c>
    </row>
    <row r="786" spans="1:11" ht="16">
      <c r="A786" s="1" t="s">
        <v>805</v>
      </c>
      <c r="B786" s="1" t="s">
        <v>14</v>
      </c>
      <c r="C786" s="8">
        <v>205.66</v>
      </c>
      <c r="D786" s="8" t="s">
        <v>15</v>
      </c>
      <c r="E786" s="8">
        <v>198.78</v>
      </c>
      <c r="F786" s="8">
        <f ca="1">IFERROR(__xludf.DUMMYFUNCTION("INDEX(GOOGLEFINANCE(A786, ""open"", DATE(2025,2,3), DATE(2025,2,3)), 2, 2)"),199.79)</f>
        <v>199.79</v>
      </c>
      <c r="G786" s="8">
        <f ca="1">IFERROR(__xludf.DUMMYFUNCTION("INDEX(GOOGLEFINANCE(A786, ""close"", DATE(2025,2,7), DATE(2025,2,7)), 2, 2)"),201.83)</f>
        <v>201.83</v>
      </c>
      <c r="H786" s="9">
        <f t="shared" ca="1" si="12"/>
        <v>1.021072125732029</v>
      </c>
      <c r="I786" s="10">
        <f t="shared" ca="1" si="13"/>
        <v>10.210721257320291</v>
      </c>
      <c r="J786" s="10" t="str">
        <f t="shared" si="14"/>
        <v>Put Spread</v>
      </c>
      <c r="K786" s="10" t="str">
        <f t="shared" ca="1" si="15"/>
        <v>Success</v>
      </c>
    </row>
    <row r="787" spans="1:11" ht="16">
      <c r="A787" s="1" t="s">
        <v>806</v>
      </c>
      <c r="B787" s="1" t="s">
        <v>14</v>
      </c>
      <c r="C787" s="8">
        <v>47.43</v>
      </c>
      <c r="D787" s="8" t="s">
        <v>15</v>
      </c>
      <c r="E787" s="8">
        <v>40.32</v>
      </c>
      <c r="F787" s="8">
        <f ca="1">IFERROR(__xludf.DUMMYFUNCTION("INDEX(GOOGLEFINANCE(A787, ""open"", DATE(2025,2,3), DATE(2025,2,3)), 2, 2)"),41.2)</f>
        <v>41.2</v>
      </c>
      <c r="G787" s="8">
        <f ca="1">IFERROR(__xludf.DUMMYFUNCTION("INDEX(GOOGLEFINANCE(A787, ""close"", DATE(2025,2,7), DATE(2025,2,7)), 2, 2)"),36.17)</f>
        <v>36.17</v>
      </c>
      <c r="H787" s="9">
        <f t="shared" ca="1" si="12"/>
        <v>-12.208737864077673</v>
      </c>
      <c r="I787" s="10">
        <f t="shared" ca="1" si="13"/>
        <v>-122.08737864077673</v>
      </c>
      <c r="J787" s="10" t="str">
        <f t="shared" si="14"/>
        <v>Put Spread</v>
      </c>
      <c r="K787" s="10" t="str">
        <f t="shared" ca="1" si="15"/>
        <v>No</v>
      </c>
    </row>
    <row r="788" spans="1:11" ht="16">
      <c r="A788" s="1" t="s">
        <v>807</v>
      </c>
      <c r="B788" s="1" t="s">
        <v>14</v>
      </c>
      <c r="C788" s="8">
        <v>47.4</v>
      </c>
      <c r="D788" s="8" t="s">
        <v>15</v>
      </c>
      <c r="E788" s="8">
        <v>39.340000000000003</v>
      </c>
      <c r="F788" s="8">
        <f ca="1">IFERROR(__xludf.DUMMYFUNCTION("INDEX(GOOGLEFINANCE(A788, ""open"", DATE(2025,2,3), DATE(2025,2,3)), 2, 2)"),46.45)</f>
        <v>46.45</v>
      </c>
      <c r="G788" s="8">
        <f ca="1">IFERROR(__xludf.DUMMYFUNCTION("INDEX(GOOGLEFINANCE(A788, ""close"", DATE(2025,2,7), DATE(2025,2,7)), 2, 2)"),43.21)</f>
        <v>43.21</v>
      </c>
      <c r="H788" s="9">
        <f t="shared" ca="1" si="12"/>
        <v>-6.9752421959095843</v>
      </c>
      <c r="I788" s="10">
        <f t="shared" ca="1" si="13"/>
        <v>-69.752421959095841</v>
      </c>
      <c r="J788" s="10" t="str">
        <f t="shared" si="14"/>
        <v>Put Spread</v>
      </c>
      <c r="K788" s="10" t="str">
        <f t="shared" ca="1" si="15"/>
        <v>Success</v>
      </c>
    </row>
    <row r="789" spans="1:11" ht="16">
      <c r="A789" s="1" t="s">
        <v>808</v>
      </c>
      <c r="B789" s="1" t="s">
        <v>14</v>
      </c>
      <c r="C789" s="8">
        <v>36.96</v>
      </c>
      <c r="D789" s="8" t="s">
        <v>15</v>
      </c>
      <c r="E789" s="8">
        <v>28.54</v>
      </c>
      <c r="F789" s="8">
        <f ca="1">IFERROR(__xludf.DUMMYFUNCTION("INDEX(GOOGLEFINANCE(A789, ""open"", DATE(2025,2,3), DATE(2025,2,3)), 2, 2)"),31.38)</f>
        <v>31.38</v>
      </c>
      <c r="G789" s="8">
        <f ca="1">IFERROR(__xludf.DUMMYFUNCTION("INDEX(GOOGLEFINANCE(A789, ""close"", DATE(2025,2,7), DATE(2025,2,7)), 2, 2)"),32.56)</f>
        <v>32.56</v>
      </c>
      <c r="H789" s="9">
        <f t="shared" ca="1" si="12"/>
        <v>3.7603569152326424</v>
      </c>
      <c r="I789" s="10">
        <f t="shared" ca="1" si="13"/>
        <v>37.603569152326422</v>
      </c>
      <c r="J789" s="10" t="str">
        <f t="shared" si="14"/>
        <v>Put Spread</v>
      </c>
      <c r="K789" s="10" t="str">
        <f t="shared" ca="1" si="15"/>
        <v>Success</v>
      </c>
    </row>
    <row r="790" spans="1:11" ht="16">
      <c r="A790" s="1" t="s">
        <v>809</v>
      </c>
      <c r="B790" s="1" t="s">
        <v>38</v>
      </c>
      <c r="C790" s="8">
        <v>126.61</v>
      </c>
      <c r="D790" s="8" t="s">
        <v>39</v>
      </c>
      <c r="E790" s="8">
        <v>139.38999999999999</v>
      </c>
      <c r="F790" s="8">
        <f ca="1">IFERROR(__xludf.DUMMYFUNCTION("INDEX(GOOGLEFINANCE(A790, ""open"", DATE(2025,2,3), DATE(2025,2,3)), 2, 2)"),133.73)</f>
        <v>133.72999999999999</v>
      </c>
      <c r="G790" s="8">
        <f ca="1">IFERROR(__xludf.DUMMYFUNCTION("INDEX(GOOGLEFINANCE(A790, ""close"", DATE(2025,2,7), DATE(2025,2,7)), 2, 2)"),133.08)</f>
        <v>133.08000000000001</v>
      </c>
      <c r="H790" s="9">
        <f t="shared" ca="1" si="12"/>
        <v>0.48605398938157279</v>
      </c>
      <c r="I790" s="10">
        <f t="shared" ca="1" si="13"/>
        <v>4.8605398938157283</v>
      </c>
      <c r="J790" s="10" t="str">
        <f t="shared" si="14"/>
        <v>Call Spread</v>
      </c>
      <c r="K790" s="10" t="str">
        <f t="shared" ca="1" si="15"/>
        <v>Success</v>
      </c>
    </row>
    <row r="791" spans="1:11" ht="16">
      <c r="A791" s="1" t="s">
        <v>810</v>
      </c>
      <c r="B791" s="1" t="s">
        <v>14</v>
      </c>
      <c r="C791" s="8">
        <v>10.82</v>
      </c>
      <c r="D791" s="8" t="s">
        <v>15</v>
      </c>
      <c r="E791" s="8">
        <v>9.74</v>
      </c>
      <c r="F791" s="8">
        <f ca="1">IFERROR(__xludf.DUMMYFUNCTION("INDEX(GOOGLEFINANCE(A791, ""open"", DATE(2025,2,3), DATE(2025,2,3)), 2, 2)"),9.97)</f>
        <v>9.9700000000000006</v>
      </c>
      <c r="G791" s="8">
        <f ca="1">IFERROR(__xludf.DUMMYFUNCTION("INDEX(GOOGLEFINANCE(A791, ""close"", DATE(2025,2,7), DATE(2025,2,7)), 2, 2)"),10.31)</f>
        <v>10.31</v>
      </c>
      <c r="H791" s="9">
        <f t="shared" ca="1" si="12"/>
        <v>3.4102306920762269</v>
      </c>
      <c r="I791" s="10">
        <f t="shared" ca="1" si="13"/>
        <v>34.102306920762267</v>
      </c>
      <c r="J791" s="10" t="str">
        <f t="shared" si="14"/>
        <v>Put Spread</v>
      </c>
      <c r="K791" s="10" t="str">
        <f t="shared" ca="1" si="15"/>
        <v>Success</v>
      </c>
    </row>
    <row r="792" spans="1:11" ht="16">
      <c r="A792" s="1" t="s">
        <v>811</v>
      </c>
      <c r="B792" s="1" t="s">
        <v>14</v>
      </c>
      <c r="C792" s="8">
        <v>7.34</v>
      </c>
      <c r="D792" s="8" t="s">
        <v>15</v>
      </c>
      <c r="E792" s="8">
        <v>6.08</v>
      </c>
      <c r="F792" s="8">
        <f ca="1">IFERROR(__xludf.DUMMYFUNCTION("INDEX(GOOGLEFINANCE(A792, ""open"", DATE(2025,2,3), DATE(2025,2,3)), 2, 2)"),6.44)</f>
        <v>6.44</v>
      </c>
      <c r="G792" s="8">
        <f ca="1">IFERROR(__xludf.DUMMYFUNCTION("INDEX(GOOGLEFINANCE(A792, ""close"", DATE(2025,2,7), DATE(2025,2,7)), 2, 2)"),6.58)</f>
        <v>6.58</v>
      </c>
      <c r="H792" s="9">
        <f t="shared" ca="1" si="12"/>
        <v>2.1739130434782554</v>
      </c>
      <c r="I792" s="10">
        <f t="shared" ca="1" si="13"/>
        <v>21.739130434782556</v>
      </c>
      <c r="J792" s="10" t="str">
        <f t="shared" si="14"/>
        <v>Put Spread</v>
      </c>
      <c r="K792" s="10" t="str">
        <f t="shared" ca="1" si="15"/>
        <v>Success</v>
      </c>
    </row>
    <row r="793" spans="1:11" ht="16">
      <c r="A793" s="1" t="s">
        <v>812</v>
      </c>
      <c r="B793" s="1" t="s">
        <v>14</v>
      </c>
      <c r="C793" s="8">
        <v>92.79</v>
      </c>
      <c r="D793" s="8" t="s">
        <v>15</v>
      </c>
      <c r="E793" s="8">
        <v>88.31</v>
      </c>
      <c r="F793" s="8">
        <f ca="1">IFERROR(__xludf.DUMMYFUNCTION("INDEX(GOOGLEFINANCE(A793, ""open"", DATE(2025,2,3), DATE(2025,2,3)), 2, 2)"),89.75)</f>
        <v>89.75</v>
      </c>
      <c r="G793" s="8">
        <f ca="1">IFERROR(__xludf.DUMMYFUNCTION("INDEX(GOOGLEFINANCE(A793, ""close"", DATE(2025,2,7), DATE(2025,2,7)), 2, 2)"),91.63)</f>
        <v>91.63</v>
      </c>
      <c r="H793" s="9">
        <f t="shared" ca="1" si="12"/>
        <v>2.0947075208913599</v>
      </c>
      <c r="I793" s="10">
        <f t="shared" ca="1" si="13"/>
        <v>20.947075208913599</v>
      </c>
      <c r="J793" s="10" t="str">
        <f t="shared" si="14"/>
        <v>Put Spread</v>
      </c>
      <c r="K793" s="10" t="str">
        <f t="shared" ca="1" si="15"/>
        <v>Success</v>
      </c>
    </row>
    <row r="794" spans="1:11" ht="16">
      <c r="A794" s="1" t="s">
        <v>813</v>
      </c>
      <c r="B794" s="1" t="s">
        <v>14</v>
      </c>
      <c r="C794" s="8">
        <v>40.89</v>
      </c>
      <c r="D794" s="8" t="s">
        <v>15</v>
      </c>
      <c r="E794" s="8">
        <v>39.35</v>
      </c>
      <c r="F794" s="8">
        <f ca="1">IFERROR(__xludf.DUMMYFUNCTION("INDEX(GOOGLEFINANCE(A794, ""open"", DATE(2025,2,3), DATE(2025,2,3)), 2, 2)"),39.72)</f>
        <v>39.72</v>
      </c>
      <c r="G794" s="8">
        <f ca="1">IFERROR(__xludf.DUMMYFUNCTION("INDEX(GOOGLEFINANCE(A794, ""close"", DATE(2025,2,7), DATE(2025,2,7)), 2, 2)"),40.32)</f>
        <v>40.32</v>
      </c>
      <c r="H794" s="9">
        <f t="shared" ca="1" si="12"/>
        <v>1.5105740181268918</v>
      </c>
      <c r="I794" s="10">
        <f t="shared" ca="1" si="13"/>
        <v>15.105740181268919</v>
      </c>
      <c r="J794" s="10" t="str">
        <f t="shared" si="14"/>
        <v>Put Spread</v>
      </c>
      <c r="K794" s="10" t="str">
        <f t="shared" ca="1" si="15"/>
        <v>Success</v>
      </c>
    </row>
    <row r="795" spans="1:11" ht="16">
      <c r="A795" s="1" t="s">
        <v>814</v>
      </c>
      <c r="B795" s="1" t="s">
        <v>14</v>
      </c>
      <c r="C795" s="8">
        <v>281.24</v>
      </c>
      <c r="D795" s="8" t="s">
        <v>15</v>
      </c>
      <c r="E795" s="8">
        <v>269.98</v>
      </c>
      <c r="F795" s="8">
        <f ca="1">IFERROR(__xludf.DUMMYFUNCTION("INDEX(GOOGLEFINANCE(A795, ""open"", DATE(2025,2,3), DATE(2025,2,3)), 2, 2)"),271.4)</f>
        <v>271.39999999999998</v>
      </c>
      <c r="G795" s="8">
        <f ca="1">IFERROR(__xludf.DUMMYFUNCTION("INDEX(GOOGLEFINANCE(A795, ""close"", DATE(2025,2,7), DATE(2025,2,7)), 2, 2)"),276.31)</f>
        <v>276.31</v>
      </c>
      <c r="H795" s="9">
        <f t="shared" ca="1" si="12"/>
        <v>1.8091378039793757</v>
      </c>
      <c r="I795" s="10">
        <f t="shared" ca="1" si="13"/>
        <v>18.091378039793756</v>
      </c>
      <c r="J795" s="10" t="str">
        <f t="shared" si="14"/>
        <v>Put Spread</v>
      </c>
      <c r="K795" s="10" t="str">
        <f t="shared" ca="1" si="15"/>
        <v>Success</v>
      </c>
    </row>
    <row r="796" spans="1:11" ht="16">
      <c r="A796" s="1" t="s">
        <v>815</v>
      </c>
      <c r="B796" s="1" t="s">
        <v>14</v>
      </c>
      <c r="C796" s="8">
        <v>9.34</v>
      </c>
      <c r="D796" s="8" t="s">
        <v>15</v>
      </c>
      <c r="E796" s="8">
        <v>7.74</v>
      </c>
      <c r="F796" s="8">
        <f ca="1">IFERROR(__xludf.DUMMYFUNCTION("INDEX(GOOGLEFINANCE(A796, ""open"", DATE(2025,2,3), DATE(2025,2,3)), 2, 2)"),8.56)</f>
        <v>8.56</v>
      </c>
      <c r="G796" s="8">
        <f ca="1">IFERROR(__xludf.DUMMYFUNCTION("INDEX(GOOGLEFINANCE(A796, ""close"", DATE(2025,2,7), DATE(2025,2,7)), 2, 2)"),8.57)</f>
        <v>8.57</v>
      </c>
      <c r="H796" s="9">
        <f t="shared" ca="1" si="12"/>
        <v>0.11682242990653956</v>
      </c>
      <c r="I796" s="10">
        <f t="shared" ca="1" si="13"/>
        <v>1.1682242990653955</v>
      </c>
      <c r="J796" s="10" t="str">
        <f t="shared" si="14"/>
        <v>Put Spread</v>
      </c>
      <c r="K796" s="10" t="str">
        <f t="shared" ca="1" si="15"/>
        <v>Success</v>
      </c>
    </row>
    <row r="797" spans="1:11" ht="16">
      <c r="A797" s="1" t="s">
        <v>816</v>
      </c>
      <c r="B797" s="1" t="s">
        <v>14</v>
      </c>
      <c r="C797" s="8">
        <v>565.46</v>
      </c>
      <c r="D797" s="8" t="s">
        <v>15</v>
      </c>
      <c r="E797" s="8">
        <v>541.20000000000005</v>
      </c>
      <c r="F797" s="8">
        <f ca="1">IFERROR(__xludf.DUMMYFUNCTION("INDEX(GOOGLEFINANCE(A797, ""open"", DATE(2025,2,3), DATE(2025,2,3)), 2, 2)"),544.99)</f>
        <v>544.99</v>
      </c>
      <c r="G797" s="8">
        <f ca="1">IFERROR(__xludf.DUMMYFUNCTION("INDEX(GOOGLEFINANCE(A797, ""close"", DATE(2025,2,7), DATE(2025,2,7)), 2, 2)"),552.2)</f>
        <v>552.20000000000005</v>
      </c>
      <c r="H797" s="9">
        <f t="shared" ca="1" si="12"/>
        <v>1.3229600543129298</v>
      </c>
      <c r="I797" s="10">
        <f t="shared" ca="1" si="13"/>
        <v>13.229600543129298</v>
      </c>
      <c r="J797" s="10" t="str">
        <f t="shared" si="14"/>
        <v>Put Spread</v>
      </c>
      <c r="K797" s="10" t="str">
        <f t="shared" ca="1" si="15"/>
        <v>Success</v>
      </c>
    </row>
    <row r="798" spans="1:11" ht="16">
      <c r="A798" s="1" t="s">
        <v>817</v>
      </c>
      <c r="B798" s="1" t="s">
        <v>14</v>
      </c>
      <c r="C798" s="8">
        <v>129.03</v>
      </c>
      <c r="D798" s="8" t="s">
        <v>15</v>
      </c>
      <c r="E798" s="8">
        <v>105.01</v>
      </c>
      <c r="F798" s="8">
        <f ca="1">IFERROR(__xludf.DUMMYFUNCTION("INDEX(GOOGLEFINANCE(A798, ""open"", DATE(2025,2,3), DATE(2025,2,3)), 2, 2)"),105.75)</f>
        <v>105.75</v>
      </c>
      <c r="G798" s="8">
        <f ca="1">IFERROR(__xludf.DUMMYFUNCTION("INDEX(GOOGLEFINANCE(A798, ""close"", DATE(2025,2,7), DATE(2025,2,7)), 2, 2)"),121.38)</f>
        <v>121.38</v>
      </c>
      <c r="H798" s="9">
        <f t="shared" ca="1" si="12"/>
        <v>14.780141843971627</v>
      </c>
      <c r="I798" s="10">
        <f t="shared" ca="1" si="13"/>
        <v>147.80141843971626</v>
      </c>
      <c r="J798" s="10" t="str">
        <f t="shared" si="14"/>
        <v>Put Spread</v>
      </c>
      <c r="K798" s="10" t="str">
        <f t="shared" ca="1" si="15"/>
        <v>Success</v>
      </c>
    </row>
    <row r="799" spans="1:11" ht="16">
      <c r="A799" s="1" t="s">
        <v>818</v>
      </c>
      <c r="B799" s="1" t="s">
        <v>14</v>
      </c>
      <c r="C799" s="8">
        <v>39.590000000000003</v>
      </c>
      <c r="D799" s="8" t="s">
        <v>15</v>
      </c>
      <c r="E799" s="8">
        <v>33.130000000000003</v>
      </c>
      <c r="F799" s="8">
        <f ca="1">IFERROR(__xludf.DUMMYFUNCTION("INDEX(GOOGLEFINANCE(A799, ""open"", DATE(2025,2,3), DATE(2025,2,3)), 2, 2)"),35.02)</f>
        <v>35.020000000000003</v>
      </c>
      <c r="G799" s="8">
        <f ca="1">IFERROR(__xludf.DUMMYFUNCTION("INDEX(GOOGLEFINANCE(A799, ""close"", DATE(2025,2,7), DATE(2025,2,7)), 2, 2)"),32.14)</f>
        <v>32.14</v>
      </c>
      <c r="H799" s="9">
        <f t="shared" ca="1" si="12"/>
        <v>-8.2238720731010915</v>
      </c>
      <c r="I799" s="10">
        <f t="shared" ca="1" si="13"/>
        <v>-82.238720731010915</v>
      </c>
      <c r="J799" s="10" t="str">
        <f t="shared" si="14"/>
        <v>Put Spread</v>
      </c>
      <c r="K799" s="10" t="str">
        <f t="shared" ca="1" si="15"/>
        <v>No</v>
      </c>
    </row>
    <row r="800" spans="1:11" ht="16">
      <c r="A800" s="1" t="s">
        <v>819</v>
      </c>
      <c r="B800" s="1" t="s">
        <v>14</v>
      </c>
      <c r="C800" s="8">
        <v>185.54</v>
      </c>
      <c r="D800" s="8" t="s">
        <v>15</v>
      </c>
      <c r="E800" s="8">
        <v>150.52000000000001</v>
      </c>
      <c r="F800" s="8">
        <f ca="1">IFERROR(__xludf.DUMMYFUNCTION("INDEX(GOOGLEFINANCE(A800, ""open"", DATE(2025,2,3), DATE(2025,2,3)), 2, 2)"),157.5)</f>
        <v>157.5</v>
      </c>
      <c r="G800" s="8">
        <f ca="1">IFERROR(__xludf.DUMMYFUNCTION("INDEX(GOOGLEFINANCE(A800, ""close"", DATE(2025,2,7), DATE(2025,2,7)), 2, 2)"),166.9)</f>
        <v>166.9</v>
      </c>
      <c r="H800" s="9">
        <f t="shared" ca="1" si="12"/>
        <v>5.9682539682539719</v>
      </c>
      <c r="I800" s="10">
        <f t="shared" ca="1" si="13"/>
        <v>59.682539682539719</v>
      </c>
      <c r="J800" s="10" t="str">
        <f t="shared" si="14"/>
        <v>Put Spread</v>
      </c>
      <c r="K800" s="10" t="str">
        <f t="shared" ca="1" si="15"/>
        <v>Success</v>
      </c>
    </row>
    <row r="801" spans="1:11" ht="16">
      <c r="A801" s="1" t="s">
        <v>820</v>
      </c>
      <c r="B801" s="1" t="s">
        <v>38</v>
      </c>
      <c r="C801" s="8">
        <v>118.94</v>
      </c>
      <c r="D801" s="8" t="s">
        <v>39</v>
      </c>
      <c r="E801" s="8">
        <v>123.2</v>
      </c>
      <c r="F801" s="8">
        <f ca="1">IFERROR(__xludf.DUMMYFUNCTION("INDEX(GOOGLEFINANCE(A801, ""open"", DATE(2025,2,3), DATE(2025,2,3)), 2, 2)"),119.22)</f>
        <v>119.22</v>
      </c>
      <c r="G801" s="8">
        <f ca="1">IFERROR(__xludf.DUMMYFUNCTION("INDEX(GOOGLEFINANCE(A801, ""close"", DATE(2025,2,7), DATE(2025,2,7)), 2, 2)"),121.29)</f>
        <v>121.29</v>
      </c>
      <c r="H801" s="9">
        <f t="shared" ca="1" si="12"/>
        <v>-1.73628585807751</v>
      </c>
      <c r="I801" s="10">
        <f t="shared" ca="1" si="13"/>
        <v>-17.3628585807751</v>
      </c>
      <c r="J801" s="10" t="str">
        <f t="shared" si="14"/>
        <v>Call Spread</v>
      </c>
      <c r="K801" s="10" t="str">
        <f t="shared" ca="1" si="15"/>
        <v>Success</v>
      </c>
    </row>
    <row r="802" spans="1:11" ht="16">
      <c r="A802" s="1" t="s">
        <v>821</v>
      </c>
      <c r="B802" s="1" t="s">
        <v>14</v>
      </c>
      <c r="C802" s="8">
        <v>304.61</v>
      </c>
      <c r="D802" s="8" t="s">
        <v>15</v>
      </c>
      <c r="E802" s="8">
        <v>292.58999999999997</v>
      </c>
      <c r="F802" s="8">
        <f ca="1">IFERROR(__xludf.DUMMYFUNCTION("INDEX(GOOGLEFINANCE(A802, ""open"", DATE(2025,2,3), DATE(2025,2,3)), 2, 2)"),293.32)</f>
        <v>293.32</v>
      </c>
      <c r="G802" s="8">
        <f ca="1">IFERROR(__xludf.DUMMYFUNCTION("INDEX(GOOGLEFINANCE(A802, ""close"", DATE(2025,2,7), DATE(2025,2,7)), 2, 2)"),298)</f>
        <v>298</v>
      </c>
      <c r="H802" s="9">
        <f t="shared" ca="1" si="12"/>
        <v>1.5955270694122483</v>
      </c>
      <c r="I802" s="10">
        <f t="shared" ca="1" si="13"/>
        <v>15.955270694122483</v>
      </c>
      <c r="J802" s="10" t="str">
        <f t="shared" si="14"/>
        <v>Put Spread</v>
      </c>
      <c r="K802" s="10" t="str">
        <f t="shared" ca="1" si="15"/>
        <v>Success</v>
      </c>
    </row>
    <row r="803" spans="1:11" ht="16">
      <c r="A803" s="1" t="s">
        <v>822</v>
      </c>
      <c r="B803" s="1" t="s">
        <v>38</v>
      </c>
      <c r="C803" s="8">
        <v>10.75</v>
      </c>
      <c r="D803" s="8" t="s">
        <v>39</v>
      </c>
      <c r="E803" s="8">
        <v>11.81</v>
      </c>
      <c r="F803" s="8">
        <f ca="1">IFERROR(__xludf.DUMMYFUNCTION("INDEX(GOOGLEFINANCE(A803, ""open"", DATE(2025,2,3), DATE(2025,2,3)), 2, 2)"),11.18)</f>
        <v>11.18</v>
      </c>
      <c r="G803" s="8">
        <f ca="1">IFERROR(__xludf.DUMMYFUNCTION("INDEX(GOOGLEFINANCE(A803, ""close"", DATE(2025,2,7), DATE(2025,2,7)), 2, 2)"),10.73)</f>
        <v>10.73</v>
      </c>
      <c r="H803" s="9">
        <f t="shared" ca="1" si="12"/>
        <v>4.0250447227191355</v>
      </c>
      <c r="I803" s="10">
        <f t="shared" ca="1" si="13"/>
        <v>40.250447227191351</v>
      </c>
      <c r="J803" s="10" t="str">
        <f t="shared" si="14"/>
        <v>Call Spread</v>
      </c>
      <c r="K803" s="10" t="str">
        <f t="shared" ca="1" si="15"/>
        <v>Success</v>
      </c>
    </row>
    <row r="804" spans="1:11" ht="16">
      <c r="A804" s="1" t="s">
        <v>823</v>
      </c>
      <c r="B804" s="1" t="s">
        <v>14</v>
      </c>
      <c r="C804" s="8">
        <v>180.06</v>
      </c>
      <c r="D804" s="8" t="s">
        <v>15</v>
      </c>
      <c r="E804" s="8">
        <v>173.34</v>
      </c>
      <c r="F804" s="8">
        <f ca="1">IFERROR(__xludf.DUMMYFUNCTION("INDEX(GOOGLEFINANCE(A804, ""open"", DATE(2025,2,3), DATE(2025,2,3)), 2, 2)"),174.39)</f>
        <v>174.39</v>
      </c>
      <c r="G804" s="8">
        <f ca="1">IFERROR(__xludf.DUMMYFUNCTION("INDEX(GOOGLEFINANCE(A804, ""close"", DATE(2025,2,7), DATE(2025,2,7)), 2, 2)"),176.2)</f>
        <v>176.2</v>
      </c>
      <c r="H804" s="9">
        <f t="shared" ca="1" si="12"/>
        <v>1.0379035495154554</v>
      </c>
      <c r="I804" s="10">
        <f t="shared" ca="1" si="13"/>
        <v>10.379035495154554</v>
      </c>
      <c r="J804" s="10" t="str">
        <f t="shared" si="14"/>
        <v>Put Spread</v>
      </c>
      <c r="K804" s="10" t="str">
        <f t="shared" ca="1" si="15"/>
        <v>Success</v>
      </c>
    </row>
    <row r="805" spans="1:11" ht="16">
      <c r="A805" s="1" t="s">
        <v>824</v>
      </c>
      <c r="B805" s="1" t="s">
        <v>14</v>
      </c>
      <c r="C805" s="8">
        <v>427.78</v>
      </c>
      <c r="D805" s="8" t="s">
        <v>15</v>
      </c>
      <c r="E805" s="8">
        <v>408.92</v>
      </c>
      <c r="F805" s="8">
        <f ca="1">IFERROR(__xludf.DUMMYFUNCTION("INDEX(GOOGLEFINANCE(A805, ""open"", DATE(2025,2,3), DATE(2025,2,3)), 2, 2)"),410.07)</f>
        <v>410.07</v>
      </c>
      <c r="G805" s="8">
        <f ca="1">IFERROR(__xludf.DUMMYFUNCTION("INDEX(GOOGLEFINANCE(A805, ""close"", DATE(2025,2,7), DATE(2025,2,7)), 2, 2)"),418.82)</f>
        <v>418.82</v>
      </c>
      <c r="H805" s="9">
        <f t="shared" ca="1" si="12"/>
        <v>2.1337820372131588</v>
      </c>
      <c r="I805" s="10">
        <f t="shared" ca="1" si="13"/>
        <v>21.337820372131588</v>
      </c>
      <c r="J805" s="10" t="str">
        <f t="shared" si="14"/>
        <v>Put Spread</v>
      </c>
      <c r="K805" s="10" t="str">
        <f t="shared" ca="1" si="15"/>
        <v>Success</v>
      </c>
    </row>
    <row r="806" spans="1:11" ht="16">
      <c r="A806" s="1" t="s">
        <v>825</v>
      </c>
      <c r="B806" s="1" t="s">
        <v>14</v>
      </c>
      <c r="C806" s="8">
        <v>45.48</v>
      </c>
      <c r="D806" s="8" t="s">
        <v>15</v>
      </c>
      <c r="E806" s="8">
        <v>43.32</v>
      </c>
      <c r="F806" s="8">
        <f ca="1">IFERROR(__xludf.DUMMYFUNCTION("INDEX(GOOGLEFINANCE(A806, ""open"", DATE(2025,2,3), DATE(2025,2,3)), 2, 2)"),43.75)</f>
        <v>43.75</v>
      </c>
      <c r="G806" s="8">
        <f ca="1">IFERROR(__xludf.DUMMYFUNCTION("INDEX(GOOGLEFINANCE(A806, ""close"", DATE(2025,2,7), DATE(2025,2,7)), 2, 2)"),44.88)</f>
        <v>44.88</v>
      </c>
      <c r="H806" s="9">
        <f t="shared" ca="1" si="12"/>
        <v>2.5828571428571485</v>
      </c>
      <c r="I806" s="10">
        <f t="shared" ca="1" si="13"/>
        <v>25.828571428571486</v>
      </c>
      <c r="J806" s="10" t="str">
        <f t="shared" si="14"/>
        <v>Put Spread</v>
      </c>
      <c r="K806" s="10" t="str">
        <f t="shared" ca="1" si="15"/>
        <v>Success</v>
      </c>
    </row>
    <row r="807" spans="1:11" ht="16">
      <c r="A807" s="1" t="s">
        <v>826</v>
      </c>
      <c r="B807" s="1" t="s">
        <v>14</v>
      </c>
      <c r="C807" s="8">
        <v>62.22</v>
      </c>
      <c r="D807" s="8" t="s">
        <v>15</v>
      </c>
      <c r="E807" s="8">
        <v>59.62</v>
      </c>
      <c r="F807" s="8">
        <f ca="1">IFERROR(__xludf.DUMMYFUNCTION("INDEX(GOOGLEFINANCE(A807, ""open"", DATE(2025,2,3), DATE(2025,2,3)), 2, 2)"),59.89)</f>
        <v>59.89</v>
      </c>
      <c r="G807" s="8">
        <f ca="1">IFERROR(__xludf.DUMMYFUNCTION("INDEX(GOOGLEFINANCE(A807, ""close"", DATE(2025,2,7), DATE(2025,2,7)), 2, 2)"),61.35)</f>
        <v>61.35</v>
      </c>
      <c r="H807" s="9">
        <f t="shared" ca="1" si="12"/>
        <v>2.4378026381699796</v>
      </c>
      <c r="I807" s="10">
        <f t="shared" ca="1" si="13"/>
        <v>24.378026381699797</v>
      </c>
      <c r="J807" s="10" t="str">
        <f t="shared" si="14"/>
        <v>Put Spread</v>
      </c>
      <c r="K807" s="10" t="str">
        <f t="shared" ca="1" si="15"/>
        <v>Success</v>
      </c>
    </row>
    <row r="808" spans="1:11" ht="16">
      <c r="A808" s="1" t="s">
        <v>827</v>
      </c>
      <c r="B808" s="1" t="s">
        <v>14</v>
      </c>
      <c r="C808" s="8">
        <v>49.16</v>
      </c>
      <c r="D808" s="8" t="s">
        <v>15</v>
      </c>
      <c r="E808" s="8">
        <v>39.08</v>
      </c>
      <c r="F808" s="8">
        <f ca="1">IFERROR(__xludf.DUMMYFUNCTION("INDEX(GOOGLEFINANCE(A808, ""open"", DATE(2025,2,3), DATE(2025,2,3)), 2, 2)"),47.13)</f>
        <v>47.13</v>
      </c>
      <c r="G808" s="8">
        <f ca="1">IFERROR(__xludf.DUMMYFUNCTION("INDEX(GOOGLEFINANCE(A808, ""close"", DATE(2025,2,7), DATE(2025,2,7)), 2, 2)"),43.96)</f>
        <v>43.96</v>
      </c>
      <c r="H808" s="9">
        <f t="shared" ca="1" si="12"/>
        <v>-6.7260768088266527</v>
      </c>
      <c r="I808" s="10">
        <f t="shared" ca="1" si="13"/>
        <v>-67.260768088266516</v>
      </c>
      <c r="J808" s="10" t="str">
        <f t="shared" si="14"/>
        <v>Put Spread</v>
      </c>
      <c r="K808" s="10" t="str">
        <f t="shared" ca="1" si="15"/>
        <v>Success</v>
      </c>
    </row>
    <row r="809" spans="1:11" ht="16">
      <c r="A809" s="1" t="s">
        <v>828</v>
      </c>
      <c r="B809" s="1" t="s">
        <v>14</v>
      </c>
      <c r="C809" s="8">
        <v>53.59</v>
      </c>
      <c r="D809" s="8" t="s">
        <v>15</v>
      </c>
      <c r="E809" s="8">
        <v>48.24</v>
      </c>
      <c r="F809" s="8">
        <f ca="1">IFERROR(__xludf.DUMMYFUNCTION("INDEX(GOOGLEFINANCE(A809, ""open"", DATE(2025,2,3), DATE(2025,2,3)), 2, 2)"),52.5)</f>
        <v>52.5</v>
      </c>
      <c r="G809" s="8">
        <f ca="1">IFERROR(__xludf.DUMMYFUNCTION("INDEX(GOOGLEFINANCE(A809, ""close"", DATE(2025,2,7), DATE(2025,2,7)), 2, 2)"),51.04)</f>
        <v>51.04</v>
      </c>
      <c r="H809" s="9">
        <f t="shared" ca="1" si="12"/>
        <v>-2.7809523809523826</v>
      </c>
      <c r="I809" s="10">
        <f t="shared" ca="1" si="13"/>
        <v>-27.809523809523824</v>
      </c>
      <c r="J809" s="10" t="str">
        <f t="shared" si="14"/>
        <v>Put Spread</v>
      </c>
      <c r="K809" s="10" t="str">
        <f t="shared" ca="1" si="15"/>
        <v>Success</v>
      </c>
    </row>
    <row r="810" spans="1:11" ht="16">
      <c r="A810" s="1" t="s">
        <v>829</v>
      </c>
      <c r="B810" s="1" t="s">
        <v>14</v>
      </c>
      <c r="C810" s="8">
        <v>134.66</v>
      </c>
      <c r="D810" s="8" t="s">
        <v>15</v>
      </c>
      <c r="E810" s="8">
        <v>130.06</v>
      </c>
      <c r="F810" s="8">
        <f ca="1">IFERROR(__xludf.DUMMYFUNCTION("INDEX(GOOGLEFINANCE(A810, ""open"", DATE(2025,2,3), DATE(2025,2,3)), 2, 2)"),130.72)</f>
        <v>130.72</v>
      </c>
      <c r="G810" s="8">
        <f ca="1">IFERROR(__xludf.DUMMYFUNCTION("INDEX(GOOGLEFINANCE(A810, ""close"", DATE(2025,2,7), DATE(2025,2,7)), 2, 2)"),132.32)</f>
        <v>132.32</v>
      </c>
      <c r="H810" s="9">
        <f t="shared" ca="1" si="12"/>
        <v>1.2239902080783311</v>
      </c>
      <c r="I810" s="10">
        <f t="shared" ca="1" si="13"/>
        <v>12.239902080783311</v>
      </c>
      <c r="J810" s="10" t="str">
        <f t="shared" si="14"/>
        <v>Put Spread</v>
      </c>
      <c r="K810" s="10" t="str">
        <f t="shared" ca="1" si="15"/>
        <v>Success</v>
      </c>
    </row>
    <row r="811" spans="1:11" ht="16">
      <c r="A811" s="1" t="s">
        <v>830</v>
      </c>
      <c r="B811" s="1" t="s">
        <v>14</v>
      </c>
      <c r="C811" s="8">
        <v>40.28</v>
      </c>
      <c r="D811" s="8" t="s">
        <v>15</v>
      </c>
      <c r="E811" s="8">
        <v>38.5</v>
      </c>
      <c r="F811" s="8">
        <f ca="1">IFERROR(__xludf.DUMMYFUNCTION("INDEX(GOOGLEFINANCE(A811, ""open"", DATE(2025,2,3), DATE(2025,2,3)), 2, 2)"),39.31)</f>
        <v>39.31</v>
      </c>
      <c r="G811" s="8">
        <f ca="1">IFERROR(__xludf.DUMMYFUNCTION("INDEX(GOOGLEFINANCE(A811, ""close"", DATE(2025,2,7), DATE(2025,2,7)), 2, 2)"),39.88)</f>
        <v>39.880000000000003</v>
      </c>
      <c r="H811" s="9">
        <f t="shared" ca="1" si="12"/>
        <v>1.45001271940982</v>
      </c>
      <c r="I811" s="10">
        <f t="shared" ca="1" si="13"/>
        <v>14.5001271940982</v>
      </c>
      <c r="J811" s="10" t="str">
        <f t="shared" si="14"/>
        <v>Put Spread</v>
      </c>
      <c r="K811" s="10" t="str">
        <f t="shared" ca="1" si="15"/>
        <v>Success</v>
      </c>
    </row>
    <row r="812" spans="1:11" ht="16">
      <c r="A812" s="1" t="s">
        <v>831</v>
      </c>
      <c r="B812" s="1" t="s">
        <v>14</v>
      </c>
      <c r="C812" s="8">
        <v>53.09</v>
      </c>
      <c r="D812" s="8" t="s">
        <v>15</v>
      </c>
      <c r="E812" s="8">
        <v>43.65</v>
      </c>
      <c r="F812" s="8">
        <f ca="1">IFERROR(__xludf.DUMMYFUNCTION("INDEX(GOOGLEFINANCE(A812, ""open"", DATE(2025,2,3), DATE(2025,2,3)), 2, 2)"),46.15)</f>
        <v>46.15</v>
      </c>
      <c r="G812" s="8">
        <f ca="1">IFERROR(__xludf.DUMMYFUNCTION("INDEX(GOOGLEFINANCE(A812, ""close"", DATE(2025,2,7), DATE(2025,2,7)), 2, 2)"),43.76)</f>
        <v>43.76</v>
      </c>
      <c r="H812" s="9">
        <f t="shared" ca="1" si="12"/>
        <v>-5.1787648970747577</v>
      </c>
      <c r="I812" s="10">
        <f t="shared" ca="1" si="13"/>
        <v>-51.787648970747576</v>
      </c>
      <c r="J812" s="10" t="str">
        <f t="shared" si="14"/>
        <v>Put Spread</v>
      </c>
      <c r="K812" s="10" t="str">
        <f t="shared" ca="1" si="15"/>
        <v>Success</v>
      </c>
    </row>
    <row r="813" spans="1:11" ht="16">
      <c r="A813" s="1" t="s">
        <v>832</v>
      </c>
      <c r="B813" s="1" t="s">
        <v>14</v>
      </c>
      <c r="C813" s="8">
        <v>92.07</v>
      </c>
      <c r="D813" s="8" t="s">
        <v>15</v>
      </c>
      <c r="E813" s="8">
        <v>83.67</v>
      </c>
      <c r="F813" s="8">
        <f ca="1">IFERROR(__xludf.DUMMYFUNCTION("INDEX(GOOGLEFINANCE(A813, ""open"", DATE(2025,2,3), DATE(2025,2,3)), 2, 2)"),85.01)</f>
        <v>85.01</v>
      </c>
      <c r="G813" s="8">
        <f ca="1">IFERROR(__xludf.DUMMYFUNCTION("INDEX(GOOGLEFINANCE(A813, ""close"", DATE(2025,2,7), DATE(2025,2,7)), 2, 2)"),89.89)</f>
        <v>89.89</v>
      </c>
      <c r="H813" s="9">
        <f t="shared" ca="1" si="12"/>
        <v>5.7405011175155805</v>
      </c>
      <c r="I813" s="10">
        <f t="shared" ca="1" si="13"/>
        <v>57.405011175155806</v>
      </c>
      <c r="J813" s="10" t="str">
        <f t="shared" si="14"/>
        <v>Put Spread</v>
      </c>
      <c r="K813" s="10" t="str">
        <f t="shared" ca="1" si="15"/>
        <v>Success</v>
      </c>
    </row>
    <row r="814" spans="1:11" ht="16">
      <c r="A814" s="1" t="s">
        <v>833</v>
      </c>
      <c r="B814" s="1" t="s">
        <v>14</v>
      </c>
      <c r="C814" s="8">
        <v>11.07</v>
      </c>
      <c r="D814" s="8" t="s">
        <v>15</v>
      </c>
      <c r="E814" s="8">
        <v>9.49</v>
      </c>
      <c r="F814" s="8">
        <f ca="1">IFERROR(__xludf.DUMMYFUNCTION("INDEX(GOOGLEFINANCE(A814, ""open"", DATE(2025,2,3), DATE(2025,2,3)), 2, 2)"),9.91)</f>
        <v>9.91</v>
      </c>
      <c r="G814" s="8">
        <f ca="1">IFERROR(__xludf.DUMMYFUNCTION("INDEX(GOOGLEFINANCE(A814, ""close"", DATE(2025,2,7), DATE(2025,2,7)), 2, 2)"),10.12)</f>
        <v>10.119999999999999</v>
      </c>
      <c r="H814" s="9">
        <f t="shared" ca="1" si="12"/>
        <v>2.1190716448032196</v>
      </c>
      <c r="I814" s="10">
        <f t="shared" ca="1" si="13"/>
        <v>21.190716448032195</v>
      </c>
      <c r="J814" s="10" t="str">
        <f t="shared" si="14"/>
        <v>Put Spread</v>
      </c>
      <c r="K814" s="10" t="str">
        <f t="shared" ca="1" si="15"/>
        <v>Success</v>
      </c>
    </row>
    <row r="815" spans="1:11" ht="16">
      <c r="A815" s="1" t="s">
        <v>834</v>
      </c>
      <c r="B815" s="1" t="s">
        <v>14</v>
      </c>
      <c r="C815" s="8">
        <v>11.23</v>
      </c>
      <c r="D815" s="8" t="s">
        <v>15</v>
      </c>
      <c r="E815" s="8">
        <v>9.65</v>
      </c>
      <c r="F815" s="8">
        <f ca="1">IFERROR(__xludf.DUMMYFUNCTION("INDEX(GOOGLEFINANCE(A815, ""open"", DATE(2025,2,3), DATE(2025,2,3)), 2, 2)"),10.24)</f>
        <v>10.24</v>
      </c>
      <c r="G815" s="8">
        <f ca="1">IFERROR(__xludf.DUMMYFUNCTION("INDEX(GOOGLEFINANCE(A815, ""close"", DATE(2025,2,7), DATE(2025,2,7)), 2, 2)"),10.16)</f>
        <v>10.16</v>
      </c>
      <c r="H815" s="9">
        <f t="shared" ca="1" si="12"/>
        <v>-0.78125000000000067</v>
      </c>
      <c r="I815" s="10">
        <f t="shared" ca="1" si="13"/>
        <v>-7.8125000000000071</v>
      </c>
      <c r="J815" s="10" t="str">
        <f t="shared" si="14"/>
        <v>Put Spread</v>
      </c>
      <c r="K815" s="10" t="str">
        <f t="shared" ca="1" si="15"/>
        <v>Success</v>
      </c>
    </row>
    <row r="816" spans="1:11" ht="16">
      <c r="A816" s="1" t="s">
        <v>835</v>
      </c>
      <c r="B816" s="1" t="s">
        <v>14</v>
      </c>
      <c r="C816" s="8">
        <v>277.24</v>
      </c>
      <c r="D816" s="8" t="s">
        <v>15</v>
      </c>
      <c r="E816" s="8">
        <v>246.88</v>
      </c>
      <c r="F816" s="8">
        <f ca="1">IFERROR(__xludf.DUMMYFUNCTION("INDEX(GOOGLEFINANCE(A816, ""open"", DATE(2025,2,3), DATE(2025,2,3)), 2, 2)"),259.73)</f>
        <v>259.73</v>
      </c>
      <c r="G816" s="8">
        <f ca="1">IFERROR(__xludf.DUMMYFUNCTION("INDEX(GOOGLEFINANCE(A816, ""close"", DATE(2025,2,7), DATE(2025,2,7)), 2, 2)"),271.89)</f>
        <v>271.89</v>
      </c>
      <c r="H816" s="9">
        <f t="shared" ca="1" si="12"/>
        <v>4.681784930504743</v>
      </c>
      <c r="I816" s="10">
        <f t="shared" ca="1" si="13"/>
        <v>46.817849305047432</v>
      </c>
      <c r="J816" s="10" t="str">
        <f t="shared" si="14"/>
        <v>Put Spread</v>
      </c>
      <c r="K816" s="10" t="str">
        <f t="shared" ca="1" si="15"/>
        <v>Success</v>
      </c>
    </row>
    <row r="817" spans="1:11" ht="16">
      <c r="A817" s="1" t="s">
        <v>836</v>
      </c>
      <c r="B817" s="1" t="s">
        <v>14</v>
      </c>
      <c r="C817" s="8">
        <v>69.08</v>
      </c>
      <c r="D817" s="8" t="s">
        <v>15</v>
      </c>
      <c r="E817" s="8">
        <v>61.18</v>
      </c>
      <c r="F817" s="8">
        <f ca="1">IFERROR(__xludf.DUMMYFUNCTION("INDEX(GOOGLEFINANCE(A817, ""open"", DATE(2025,2,3), DATE(2025,2,3)), 2, 2)"),64.03)</f>
        <v>64.03</v>
      </c>
      <c r="G817" s="8">
        <f ca="1">IFERROR(__xludf.DUMMYFUNCTION("INDEX(GOOGLEFINANCE(A817, ""close"", DATE(2025,2,7), DATE(2025,2,7)), 2, 2)"),64.46)</f>
        <v>64.459999999999994</v>
      </c>
      <c r="H817" s="9">
        <f t="shared" ca="1" si="12"/>
        <v>0.6715602061533541</v>
      </c>
      <c r="I817" s="10">
        <f t="shared" ca="1" si="13"/>
        <v>6.7156020615335414</v>
      </c>
      <c r="J817" s="10" t="str">
        <f t="shared" si="14"/>
        <v>Put Spread</v>
      </c>
      <c r="K817" s="10" t="str">
        <f t="shared" ca="1" si="15"/>
        <v>Success</v>
      </c>
    </row>
    <row r="818" spans="1:11" ht="16">
      <c r="A818" s="1" t="s">
        <v>837</v>
      </c>
      <c r="B818" s="1" t="s">
        <v>14</v>
      </c>
      <c r="C818" s="8">
        <v>5.25</v>
      </c>
      <c r="D818" s="8" t="s">
        <v>15</v>
      </c>
      <c r="E818" s="8">
        <v>4.6500000000000004</v>
      </c>
      <c r="F818" s="8">
        <f ca="1">IFERROR(__xludf.DUMMYFUNCTION("INDEX(GOOGLEFINANCE(A818, ""open"", DATE(2025,2,3), DATE(2025,2,3)), 2, 2)"),4.93)</f>
        <v>4.93</v>
      </c>
      <c r="G818" s="8">
        <f ca="1">IFERROR(__xludf.DUMMYFUNCTION("INDEX(GOOGLEFINANCE(A818, ""close"", DATE(2025,2,7), DATE(2025,2,7)), 2, 2)"),5.12)</f>
        <v>5.12</v>
      </c>
      <c r="H818" s="9">
        <f t="shared" ca="1" si="12"/>
        <v>3.853955375253558</v>
      </c>
      <c r="I818" s="10">
        <f t="shared" ca="1" si="13"/>
        <v>38.539553752535582</v>
      </c>
      <c r="J818" s="10" t="str">
        <f t="shared" si="14"/>
        <v>Put Spread</v>
      </c>
      <c r="K818" s="10" t="str">
        <f t="shared" ca="1" si="15"/>
        <v>Success</v>
      </c>
    </row>
    <row r="819" spans="1:11" ht="16">
      <c r="A819" s="1" t="s">
        <v>838</v>
      </c>
      <c r="B819" s="1" t="s">
        <v>38</v>
      </c>
      <c r="C819" s="8">
        <v>14.2</v>
      </c>
      <c r="D819" s="8" t="s">
        <v>39</v>
      </c>
      <c r="E819" s="8">
        <v>15.46</v>
      </c>
      <c r="F819" s="8">
        <f ca="1">IFERROR(__xludf.DUMMYFUNCTION("INDEX(GOOGLEFINANCE(A819, ""open"", DATE(2025,2,3), DATE(2025,2,3)), 2, 2)"),14.63)</f>
        <v>14.63</v>
      </c>
      <c r="G819" s="8">
        <f ca="1">IFERROR(__xludf.DUMMYFUNCTION("INDEX(GOOGLEFINANCE(A819, ""close"", DATE(2025,2,7), DATE(2025,2,7)), 2, 2)"),14.43)</f>
        <v>14.43</v>
      </c>
      <c r="H819" s="9">
        <f t="shared" ca="1" si="12"/>
        <v>1.3670539986329533</v>
      </c>
      <c r="I819" s="10">
        <f t="shared" ca="1" si="13"/>
        <v>13.670539986329533</v>
      </c>
      <c r="J819" s="10" t="str">
        <f t="shared" si="14"/>
        <v>Call Spread</v>
      </c>
      <c r="K819" s="10" t="str">
        <f t="shared" ca="1" si="15"/>
        <v>Success</v>
      </c>
    </row>
    <row r="820" spans="1:11" ht="16">
      <c r="A820" s="1" t="s">
        <v>839</v>
      </c>
      <c r="B820" s="1" t="s">
        <v>14</v>
      </c>
      <c r="C820" s="8">
        <v>81.2</v>
      </c>
      <c r="D820" s="8" t="s">
        <v>15</v>
      </c>
      <c r="E820" s="8">
        <v>76.400000000000006</v>
      </c>
      <c r="F820" s="8">
        <f ca="1">IFERROR(__xludf.DUMMYFUNCTION("INDEX(GOOGLEFINANCE(A820, ""open"", DATE(2025,2,3), DATE(2025,2,3)), 2, 2)"),77.23)</f>
        <v>77.23</v>
      </c>
      <c r="G820" s="8">
        <f ca="1">IFERROR(__xludf.DUMMYFUNCTION("INDEX(GOOGLEFINANCE(A820, ""close"", DATE(2025,2,7), DATE(2025,2,7)), 2, 2)"),80.67)</f>
        <v>80.67</v>
      </c>
      <c r="H820" s="9">
        <f t="shared" ca="1" si="12"/>
        <v>4.4542276317493172</v>
      </c>
      <c r="I820" s="10">
        <f t="shared" ca="1" si="13"/>
        <v>44.542276317493169</v>
      </c>
      <c r="J820" s="10" t="str">
        <f t="shared" si="14"/>
        <v>Put Spread</v>
      </c>
      <c r="K820" s="10" t="str">
        <f t="shared" ca="1" si="15"/>
        <v>Success</v>
      </c>
    </row>
    <row r="821" spans="1:11" ht="16">
      <c r="A821" s="1" t="s">
        <v>840</v>
      </c>
      <c r="B821" s="1" t="s">
        <v>14</v>
      </c>
      <c r="C821" s="8">
        <v>25.32</v>
      </c>
      <c r="D821" s="8" t="s">
        <v>15</v>
      </c>
      <c r="E821" s="8">
        <v>19.78</v>
      </c>
      <c r="F821" s="8">
        <f ca="1">IFERROR(__xludf.DUMMYFUNCTION("INDEX(GOOGLEFINANCE(A821, ""open"", DATE(2025,2,3), DATE(2025,2,3)), 2, 2)"),20.6)</f>
        <v>20.6</v>
      </c>
      <c r="G821" s="8">
        <f ca="1">IFERROR(__xludf.DUMMYFUNCTION("INDEX(GOOGLEFINANCE(A821, ""close"", DATE(2025,2,7), DATE(2025,2,7)), 2, 2)"),23.15)</f>
        <v>23.15</v>
      </c>
      <c r="H821" s="9">
        <f t="shared" ca="1" si="12"/>
        <v>12.378640776699013</v>
      </c>
      <c r="I821" s="10">
        <f t="shared" ca="1" si="13"/>
        <v>123.78640776699014</v>
      </c>
      <c r="J821" s="10" t="str">
        <f t="shared" si="14"/>
        <v>Put Spread</v>
      </c>
      <c r="K821" s="10" t="str">
        <f t="shared" ca="1" si="15"/>
        <v>Success</v>
      </c>
    </row>
    <row r="822" spans="1:11" ht="16">
      <c r="A822" s="1" t="s">
        <v>841</v>
      </c>
      <c r="B822" s="1" t="s">
        <v>38</v>
      </c>
      <c r="C822" s="8">
        <v>100.72</v>
      </c>
      <c r="D822" s="8" t="s">
        <v>39</v>
      </c>
      <c r="E822" s="8">
        <v>109.3</v>
      </c>
      <c r="F822" s="8">
        <f ca="1">IFERROR(__xludf.DUMMYFUNCTION("INDEX(GOOGLEFINANCE(A822, ""open"", DATE(2025,2,3), DATE(2025,2,3)), 2, 2)"),100.61)</f>
        <v>100.61</v>
      </c>
      <c r="G822" s="8">
        <f ca="1">IFERROR(__xludf.DUMMYFUNCTION("INDEX(GOOGLEFINANCE(A822, ""close"", DATE(2025,2,7), DATE(2025,2,7)), 2, 2)"),101.8)</f>
        <v>101.8</v>
      </c>
      <c r="H822" s="9">
        <f t="shared" ca="1" si="12"/>
        <v>-1.1827850114302731</v>
      </c>
      <c r="I822" s="10">
        <f t="shared" ca="1" si="13"/>
        <v>-11.827850114302732</v>
      </c>
      <c r="J822" s="10" t="str">
        <f t="shared" si="14"/>
        <v>Call Spread</v>
      </c>
      <c r="K822" s="10" t="str">
        <f t="shared" ca="1" si="15"/>
        <v>Success</v>
      </c>
    </row>
    <row r="823" spans="1:11" ht="16">
      <c r="A823" s="1" t="s">
        <v>842</v>
      </c>
      <c r="B823" s="1" t="s">
        <v>38</v>
      </c>
      <c r="C823" s="8">
        <v>278.14999999999998</v>
      </c>
      <c r="D823" s="8" t="s">
        <v>39</v>
      </c>
      <c r="E823" s="8">
        <v>317.64999999999998</v>
      </c>
      <c r="F823" s="8">
        <f ca="1">IFERROR(__xludf.DUMMYFUNCTION("INDEX(GOOGLEFINANCE(A823, ""open"", DATE(2025,2,3), DATE(2025,2,3)), 2, 2)"),293.49)</f>
        <v>293.49</v>
      </c>
      <c r="G823" s="8">
        <f ca="1">IFERROR(__xludf.DUMMYFUNCTION("INDEX(GOOGLEFINANCE(A823, ""close"", DATE(2025,2,7), DATE(2025,2,7)), 2, 2)"),304.92)</f>
        <v>304.92</v>
      </c>
      <c r="H823" s="9">
        <f t="shared" ca="1" si="12"/>
        <v>-3.8945108862312194</v>
      </c>
      <c r="I823" s="10">
        <f t="shared" ca="1" si="13"/>
        <v>-38.945108862312196</v>
      </c>
      <c r="J823" s="10" t="str">
        <f t="shared" si="14"/>
        <v>Call Spread</v>
      </c>
      <c r="K823" s="10" t="str">
        <f t="shared" ca="1" si="15"/>
        <v>Success</v>
      </c>
    </row>
    <row r="824" spans="1:11" ht="16">
      <c r="A824" s="1" t="s">
        <v>843</v>
      </c>
      <c r="B824" s="1" t="s">
        <v>14</v>
      </c>
      <c r="C824" s="8">
        <v>225.22</v>
      </c>
      <c r="D824" s="8" t="s">
        <v>15</v>
      </c>
      <c r="E824" s="8">
        <v>215.3</v>
      </c>
      <c r="F824" s="8">
        <f ca="1">IFERROR(__xludf.DUMMYFUNCTION("INDEX(GOOGLEFINANCE(A824, ""open"", DATE(2025,2,3), DATE(2025,2,3)), 2, 2)"),218.91)</f>
        <v>218.91</v>
      </c>
      <c r="G824" s="8">
        <f ca="1">IFERROR(__xludf.DUMMYFUNCTION("INDEX(GOOGLEFINANCE(A824, ""close"", DATE(2025,2,7), DATE(2025,2,7)), 2, 2)"),224.91)</f>
        <v>224.91</v>
      </c>
      <c r="H824" s="9">
        <f t="shared" ca="1" si="12"/>
        <v>2.7408524050979857</v>
      </c>
      <c r="I824" s="10">
        <f t="shared" ca="1" si="13"/>
        <v>27.40852405097986</v>
      </c>
      <c r="J824" s="10" t="str">
        <f t="shared" si="14"/>
        <v>Put Spread</v>
      </c>
      <c r="K824" s="10" t="str">
        <f t="shared" ca="1" si="15"/>
        <v>Success</v>
      </c>
    </row>
    <row r="825" spans="1:11" ht="16">
      <c r="A825" s="1" t="s">
        <v>844</v>
      </c>
      <c r="B825" s="1" t="s">
        <v>14</v>
      </c>
      <c r="C825" s="8">
        <v>101.87</v>
      </c>
      <c r="D825" s="8" t="s">
        <v>15</v>
      </c>
      <c r="E825" s="8">
        <v>94.45</v>
      </c>
      <c r="F825" s="8">
        <f ca="1">IFERROR(__xludf.DUMMYFUNCTION("INDEX(GOOGLEFINANCE(A825, ""open"", DATE(2025,2,3), DATE(2025,2,3)), 2, 2)"),96.77)</f>
        <v>96.77</v>
      </c>
      <c r="G825" s="8">
        <f ca="1">IFERROR(__xludf.DUMMYFUNCTION("INDEX(GOOGLEFINANCE(A825, ""close"", DATE(2025,2,7), DATE(2025,2,7)), 2, 2)"),101.15)</f>
        <v>101.15</v>
      </c>
      <c r="H825" s="9">
        <f t="shared" ca="1" si="12"/>
        <v>4.5261961351658675</v>
      </c>
      <c r="I825" s="10">
        <f t="shared" ca="1" si="13"/>
        <v>45.261961351658677</v>
      </c>
      <c r="J825" s="10" t="str">
        <f t="shared" si="14"/>
        <v>Put Spread</v>
      </c>
      <c r="K825" s="10" t="str">
        <f t="shared" ca="1" si="15"/>
        <v>Success</v>
      </c>
    </row>
    <row r="826" spans="1:11" ht="16">
      <c r="A826" s="1" t="s">
        <v>845</v>
      </c>
      <c r="B826" s="1" t="s">
        <v>38</v>
      </c>
      <c r="C826" s="8">
        <v>5.0599999999999996</v>
      </c>
      <c r="D826" s="8" t="s">
        <v>39</v>
      </c>
      <c r="E826" s="8">
        <v>7.2</v>
      </c>
      <c r="F826" s="8">
        <f ca="1">IFERROR(__xludf.DUMMYFUNCTION("INDEX(GOOGLEFINANCE(A826, ""open"", DATE(2025,2,3), DATE(2025,2,3)), 2, 2)"),5.75)</f>
        <v>5.75</v>
      </c>
      <c r="G826" s="8">
        <f ca="1">IFERROR(__xludf.DUMMYFUNCTION("INDEX(GOOGLEFINANCE(A826, ""close"", DATE(2025,2,7), DATE(2025,2,7)), 2, 2)"),5.33)</f>
        <v>5.33</v>
      </c>
      <c r="H826" s="9">
        <f t="shared" ca="1" si="12"/>
        <v>7.3043478260869561</v>
      </c>
      <c r="I826" s="10">
        <f t="shared" ca="1" si="13"/>
        <v>73.043478260869563</v>
      </c>
      <c r="J826" s="10" t="str">
        <f t="shared" si="14"/>
        <v>Call Spread</v>
      </c>
      <c r="K826" s="10" t="str">
        <f t="shared" ca="1" si="15"/>
        <v>Success</v>
      </c>
    </row>
    <row r="827" spans="1:11" ht="16">
      <c r="A827" s="1" t="s">
        <v>846</v>
      </c>
      <c r="B827" s="1" t="s">
        <v>14</v>
      </c>
      <c r="C827" s="8">
        <v>65.09</v>
      </c>
      <c r="D827" s="8" t="s">
        <v>15</v>
      </c>
      <c r="E827" s="8">
        <v>59.85</v>
      </c>
      <c r="F827" s="8">
        <f ca="1">IFERROR(__xludf.DUMMYFUNCTION("INDEX(GOOGLEFINANCE(A827, ""open"", DATE(2025,2,3), DATE(2025,2,3)), 2, 2)"),62.2)</f>
        <v>62.2</v>
      </c>
      <c r="G827" s="8">
        <f ca="1">IFERROR(__xludf.DUMMYFUNCTION("INDEX(GOOGLEFINANCE(A827, ""close"", DATE(2025,2,7), DATE(2025,2,7)), 2, 2)"),66.19)</f>
        <v>66.19</v>
      </c>
      <c r="H827" s="9">
        <f t="shared" ca="1" si="12"/>
        <v>6.4147909967845571</v>
      </c>
      <c r="I827" s="10">
        <f t="shared" ca="1" si="13"/>
        <v>64.147909967845578</v>
      </c>
      <c r="J827" s="10" t="str">
        <f t="shared" si="14"/>
        <v>Put Spread</v>
      </c>
      <c r="K827" s="10" t="str">
        <f t="shared" ca="1" si="15"/>
        <v>Success</v>
      </c>
    </row>
    <row r="828" spans="1:11" ht="16">
      <c r="A828" s="1" t="s">
        <v>847</v>
      </c>
      <c r="B828" s="1" t="s">
        <v>38</v>
      </c>
      <c r="C828" s="8">
        <v>196.56</v>
      </c>
      <c r="D828" s="8" t="s">
        <v>39</v>
      </c>
      <c r="E828" s="8">
        <v>226.18</v>
      </c>
      <c r="F828" s="8">
        <f ca="1">IFERROR(__xludf.DUMMYFUNCTION("INDEX(GOOGLEFINANCE(A828, ""open"", DATE(2025,2,3), DATE(2025,2,3)), 2, 2)"),204.72)</f>
        <v>204.72</v>
      </c>
      <c r="G828" s="8">
        <f ca="1">IFERROR(__xludf.DUMMYFUNCTION("INDEX(GOOGLEFINANCE(A828, ""close"", DATE(2025,2,7), DATE(2025,2,7)), 2, 2)"),207.24)</f>
        <v>207.24</v>
      </c>
      <c r="H828" s="9">
        <f t="shared" ca="1" si="12"/>
        <v>-1.230949589683475</v>
      </c>
      <c r="I828" s="10">
        <f t="shared" ca="1" si="13"/>
        <v>-12.309495896834751</v>
      </c>
      <c r="J828" s="10" t="str">
        <f t="shared" si="14"/>
        <v>Call Spread</v>
      </c>
      <c r="K828" s="10" t="str">
        <f t="shared" ca="1" si="15"/>
        <v>Success</v>
      </c>
    </row>
    <row r="829" spans="1:11" ht="16">
      <c r="A829" s="1" t="s">
        <v>848</v>
      </c>
      <c r="B829" s="1" t="s">
        <v>14</v>
      </c>
      <c r="C829" s="8">
        <v>5.62</v>
      </c>
      <c r="D829" s="8" t="s">
        <v>15</v>
      </c>
      <c r="E829" s="8">
        <v>3.92</v>
      </c>
      <c r="F829" s="8">
        <f ca="1">IFERROR(__xludf.DUMMYFUNCTION("INDEX(GOOGLEFINANCE(A829, ""open"", DATE(2025,2,3), DATE(2025,2,3)), 2, 2)"),4.29)</f>
        <v>4.29</v>
      </c>
      <c r="G829" s="8">
        <f ca="1">IFERROR(__xludf.DUMMYFUNCTION("INDEX(GOOGLEFINANCE(A829, ""close"", DATE(2025,2,7), DATE(2025,2,7)), 2, 2)"),5.03)</f>
        <v>5.03</v>
      </c>
      <c r="H829" s="9">
        <f t="shared" ca="1" si="12"/>
        <v>17.249417249417252</v>
      </c>
      <c r="I829" s="10">
        <f t="shared" ca="1" si="13"/>
        <v>172.49417249417252</v>
      </c>
      <c r="J829" s="10" t="str">
        <f t="shared" si="14"/>
        <v>Put Spread</v>
      </c>
      <c r="K829" s="10" t="str">
        <f t="shared" ca="1" si="15"/>
        <v>Success</v>
      </c>
    </row>
    <row r="830" spans="1:11" ht="16">
      <c r="A830" s="1" t="s">
        <v>849</v>
      </c>
      <c r="B830" s="1" t="s">
        <v>14</v>
      </c>
      <c r="C830" s="8">
        <v>1.33</v>
      </c>
      <c r="D830" s="8" t="s">
        <v>15</v>
      </c>
      <c r="E830" s="8">
        <v>0.83</v>
      </c>
      <c r="F830" s="8">
        <f ca="1">IFERROR(__xludf.DUMMYFUNCTION("INDEX(GOOGLEFINANCE(A830, ""open"", DATE(2025,2,3), DATE(2025,2,3)), 2, 2)"),1.05)</f>
        <v>1.05</v>
      </c>
      <c r="G830" s="8">
        <f ca="1">IFERROR(__xludf.DUMMYFUNCTION("INDEX(GOOGLEFINANCE(A830, ""close"", DATE(2025,2,7), DATE(2025,2,7)), 2, 2)"),0.88)</f>
        <v>0.88</v>
      </c>
      <c r="H830" s="9">
        <f t="shared" ca="1" si="12"/>
        <v>-16.190476190476193</v>
      </c>
      <c r="I830" s="10">
        <f t="shared" ca="1" si="13"/>
        <v>-161.90476190476193</v>
      </c>
      <c r="J830" s="10" t="str">
        <f t="shared" si="14"/>
        <v>Put Spread</v>
      </c>
      <c r="K830" s="10" t="str">
        <f t="shared" ca="1" si="15"/>
        <v>Success</v>
      </c>
    </row>
    <row r="831" spans="1:11" ht="16">
      <c r="A831" s="1" t="s">
        <v>850</v>
      </c>
      <c r="B831" s="1" t="s">
        <v>14</v>
      </c>
      <c r="C831" s="8">
        <v>91.66</v>
      </c>
      <c r="D831" s="8" t="s">
        <v>15</v>
      </c>
      <c r="E831" s="8">
        <v>82.04</v>
      </c>
      <c r="F831" s="8">
        <f ca="1">IFERROR(__xludf.DUMMYFUNCTION("INDEX(GOOGLEFINANCE(A831, ""open"", DATE(2025,2,3), DATE(2025,2,3)), 2, 2)"),84.32)</f>
        <v>84.32</v>
      </c>
      <c r="G831" s="8">
        <f ca="1">IFERROR(__xludf.DUMMYFUNCTION("INDEX(GOOGLEFINANCE(A831, ""close"", DATE(2025,2,7), DATE(2025,2,7)), 2, 2)"),80.58)</f>
        <v>80.58</v>
      </c>
      <c r="H831" s="9">
        <f t="shared" ca="1" si="12"/>
        <v>-4.4354838709677358</v>
      </c>
      <c r="I831" s="10">
        <f t="shared" ca="1" si="13"/>
        <v>-44.35483870967736</v>
      </c>
      <c r="J831" s="10" t="str">
        <f t="shared" si="14"/>
        <v>Put Spread</v>
      </c>
      <c r="K831" s="10" t="str">
        <f t="shared" ca="1" si="15"/>
        <v>No</v>
      </c>
    </row>
    <row r="832" spans="1:11" ht="16">
      <c r="A832" s="1" t="s">
        <v>851</v>
      </c>
      <c r="B832" s="1" t="s">
        <v>14</v>
      </c>
      <c r="C832" s="8">
        <v>39.81</v>
      </c>
      <c r="D832" s="8" t="s">
        <v>15</v>
      </c>
      <c r="E832" s="8">
        <v>33.89</v>
      </c>
      <c r="F832" s="8">
        <f ca="1">IFERROR(__xludf.DUMMYFUNCTION("INDEX(GOOGLEFINANCE(A832, ""open"", DATE(2025,2,3), DATE(2025,2,3)), 2, 2)"),36.7)</f>
        <v>36.700000000000003</v>
      </c>
      <c r="G832" s="8">
        <f ca="1">IFERROR(__xludf.DUMMYFUNCTION("INDEX(GOOGLEFINANCE(A832, ""close"", DATE(2025,2,7), DATE(2025,2,7)), 2, 2)"),36.98)</f>
        <v>36.979999999999997</v>
      </c>
      <c r="H832" s="9">
        <f t="shared" ca="1" si="12"/>
        <v>0.76294277929153687</v>
      </c>
      <c r="I832" s="10">
        <f t="shared" ca="1" si="13"/>
        <v>7.6294277929153687</v>
      </c>
      <c r="J832" s="10" t="str">
        <f t="shared" si="14"/>
        <v>Put Spread</v>
      </c>
      <c r="K832" s="10" t="str">
        <f t="shared" ca="1" si="15"/>
        <v>Success</v>
      </c>
    </row>
    <row r="833" spans="1:11" ht="16">
      <c r="A833" s="1" t="s">
        <v>852</v>
      </c>
      <c r="B833" s="1" t="s">
        <v>14</v>
      </c>
      <c r="C833" s="8">
        <v>179.62</v>
      </c>
      <c r="D833" s="8" t="s">
        <v>15</v>
      </c>
      <c r="E833" s="8">
        <v>171.3</v>
      </c>
      <c r="F833" s="8">
        <f ca="1">IFERROR(__xludf.DUMMYFUNCTION("INDEX(GOOGLEFINANCE(A833, ""open"", DATE(2025,2,3), DATE(2025,2,3)), 2, 2)"),172.1)</f>
        <v>172.1</v>
      </c>
      <c r="G833" s="8">
        <f ca="1">IFERROR(__xludf.DUMMYFUNCTION("INDEX(GOOGLEFINANCE(A833, ""close"", DATE(2025,2,7), DATE(2025,2,7)), 2, 2)"),173.15)</f>
        <v>173.15</v>
      </c>
      <c r="H833" s="9">
        <f t="shared" ca="1" si="12"/>
        <v>0.61011040092969859</v>
      </c>
      <c r="I833" s="10">
        <f t="shared" ca="1" si="13"/>
        <v>6.1011040092969857</v>
      </c>
      <c r="J833" s="10" t="str">
        <f t="shared" si="14"/>
        <v>Put Spread</v>
      </c>
      <c r="K833" s="10" t="str">
        <f t="shared" ca="1" si="15"/>
        <v>Success</v>
      </c>
    </row>
    <row r="834" spans="1:11" ht="16">
      <c r="A834" s="1" t="s">
        <v>853</v>
      </c>
      <c r="B834" s="1" t="s">
        <v>14</v>
      </c>
      <c r="C834" s="8">
        <v>95.99</v>
      </c>
      <c r="D834" s="8" t="s">
        <v>15</v>
      </c>
      <c r="E834" s="8">
        <v>89.35</v>
      </c>
      <c r="F834" s="8">
        <f ca="1">IFERROR(__xludf.DUMMYFUNCTION("INDEX(GOOGLEFINANCE(A834, ""open"", DATE(2025,2,3), DATE(2025,2,3)), 2, 2)"),90.58)</f>
        <v>90.58</v>
      </c>
      <c r="G834" s="8">
        <f ca="1">IFERROR(__xludf.DUMMYFUNCTION("INDEX(GOOGLEFINANCE(A834, ""close"", DATE(2025,2,7), DATE(2025,2,7)), 2, 2)"),91.24)</f>
        <v>91.24</v>
      </c>
      <c r="H834" s="9">
        <f t="shared" ca="1" si="12"/>
        <v>0.72863766835945754</v>
      </c>
      <c r="I834" s="10">
        <f t="shared" ca="1" si="13"/>
        <v>7.2863766835945754</v>
      </c>
      <c r="J834" s="10" t="str">
        <f t="shared" si="14"/>
        <v>Put Spread</v>
      </c>
      <c r="K834" s="10" t="str">
        <f t="shared" ca="1" si="15"/>
        <v>Success</v>
      </c>
    </row>
    <row r="835" spans="1:11" ht="16">
      <c r="A835" s="1" t="s">
        <v>854</v>
      </c>
      <c r="B835" s="1" t="s">
        <v>38</v>
      </c>
      <c r="C835" s="8">
        <v>104.48</v>
      </c>
      <c r="D835" s="8" t="s">
        <v>39</v>
      </c>
      <c r="E835" s="8">
        <v>112.32</v>
      </c>
      <c r="F835" s="8">
        <f ca="1">IFERROR(__xludf.DUMMYFUNCTION("INDEX(GOOGLEFINANCE(A835, ""open"", DATE(2025,2,3), DATE(2025,2,3)), 2, 2)"),106.06)</f>
        <v>106.06</v>
      </c>
      <c r="G835" s="8">
        <f ca="1">IFERROR(__xludf.DUMMYFUNCTION("INDEX(GOOGLEFINANCE(A835, ""close"", DATE(2025,2,7), DATE(2025,2,7)), 2, 2)"),104.89)</f>
        <v>104.89</v>
      </c>
      <c r="H835" s="9">
        <f t="shared" ca="1" si="12"/>
        <v>1.1031491608523494</v>
      </c>
      <c r="I835" s="10">
        <f t="shared" ca="1" si="13"/>
        <v>11.031491608523492</v>
      </c>
      <c r="J835" s="10" t="str">
        <f t="shared" si="14"/>
        <v>Call Spread</v>
      </c>
      <c r="K835" s="10" t="str">
        <f t="shared" ca="1" si="15"/>
        <v>Success</v>
      </c>
    </row>
    <row r="836" spans="1:11" ht="16">
      <c r="A836" s="1" t="s">
        <v>855</v>
      </c>
      <c r="B836" s="1" t="s">
        <v>14</v>
      </c>
      <c r="C836" s="8">
        <v>97.04</v>
      </c>
      <c r="D836" s="8" t="s">
        <v>15</v>
      </c>
      <c r="E836" s="8">
        <v>92.12</v>
      </c>
      <c r="F836" s="8">
        <f ca="1">IFERROR(__xludf.DUMMYFUNCTION("INDEX(GOOGLEFINANCE(A836, ""open"", DATE(2025,2,3), DATE(2025,2,3)), 2, 2)"),93.58)</f>
        <v>93.58</v>
      </c>
      <c r="G836" s="8">
        <f ca="1">IFERROR(__xludf.DUMMYFUNCTION("INDEX(GOOGLEFINANCE(A836, ""close"", DATE(2025,2,7), DATE(2025,2,7)), 2, 2)"),92.53)</f>
        <v>92.53</v>
      </c>
      <c r="H836" s="9">
        <f t="shared" ca="1" si="12"/>
        <v>-1.1220346227826428</v>
      </c>
      <c r="I836" s="10">
        <f t="shared" ca="1" si="13"/>
        <v>-11.220346227826429</v>
      </c>
      <c r="J836" s="10" t="str">
        <f t="shared" si="14"/>
        <v>Put Spread</v>
      </c>
      <c r="K836" s="10" t="str">
        <f t="shared" ca="1" si="15"/>
        <v>Success</v>
      </c>
    </row>
    <row r="837" spans="1:11" ht="16">
      <c r="A837" s="1" t="s">
        <v>856</v>
      </c>
      <c r="B837" s="1" t="s">
        <v>14</v>
      </c>
      <c r="C837" s="8">
        <v>90.4</v>
      </c>
      <c r="D837" s="8" t="s">
        <v>15</v>
      </c>
      <c r="E837" s="8">
        <v>87.18</v>
      </c>
      <c r="F837" s="8">
        <f ca="1">IFERROR(__xludf.DUMMYFUNCTION("INDEX(GOOGLEFINANCE(A837, ""open"", DATE(2025,2,3), DATE(2025,2,3)), 2, 2)"),87.89)</f>
        <v>87.89</v>
      </c>
      <c r="G837" s="8">
        <f ca="1">IFERROR(__xludf.DUMMYFUNCTION("INDEX(GOOGLEFINANCE(A837, ""close"", DATE(2025,2,7), DATE(2025,2,7)), 2, 2)"),88.29)</f>
        <v>88.29</v>
      </c>
      <c r="H837" s="9">
        <f t="shared" ca="1" si="12"/>
        <v>0.45511434747981078</v>
      </c>
      <c r="I837" s="10">
        <f t="shared" ca="1" si="13"/>
        <v>4.5511434747981072</v>
      </c>
      <c r="J837" s="10" t="str">
        <f t="shared" si="14"/>
        <v>Put Spread</v>
      </c>
      <c r="K837" s="10" t="str">
        <f t="shared" ca="1" si="15"/>
        <v>Success</v>
      </c>
    </row>
    <row r="838" spans="1:11" ht="16">
      <c r="A838" s="1" t="s">
        <v>857</v>
      </c>
      <c r="B838" s="1" t="s">
        <v>38</v>
      </c>
      <c r="C838" s="8">
        <v>99.7</v>
      </c>
      <c r="D838" s="8" t="s">
        <v>39</v>
      </c>
      <c r="E838" s="8">
        <v>105.06</v>
      </c>
      <c r="F838" s="8">
        <f ca="1">IFERROR(__xludf.DUMMYFUNCTION("INDEX(GOOGLEFINANCE(A838, ""open"", DATE(2025,2,3), DATE(2025,2,3)), 2, 2)"),101.12)</f>
        <v>101.12</v>
      </c>
      <c r="G838" s="8">
        <f ca="1">IFERROR(__xludf.DUMMYFUNCTION("INDEX(GOOGLEFINANCE(A838, ""close"", DATE(2025,2,7), DATE(2025,2,7)), 2, 2)"),102.74)</f>
        <v>102.74</v>
      </c>
      <c r="H838" s="9">
        <f t="shared" ca="1" si="12"/>
        <v>-1.6020569620253069</v>
      </c>
      <c r="I838" s="10">
        <f t="shared" ca="1" si="13"/>
        <v>-16.020569620253067</v>
      </c>
      <c r="J838" s="10" t="str">
        <f t="shared" si="14"/>
        <v>Call Spread</v>
      </c>
      <c r="K838" s="10" t="str">
        <f t="shared" ca="1" si="15"/>
        <v>Success</v>
      </c>
    </row>
    <row r="839" spans="1:11" ht="16">
      <c r="A839" s="1" t="s">
        <v>858</v>
      </c>
      <c r="B839" s="1" t="s">
        <v>38</v>
      </c>
      <c r="C839" s="8">
        <v>84.92</v>
      </c>
      <c r="D839" s="8" t="s">
        <v>39</v>
      </c>
      <c r="E839" s="8">
        <v>90.36</v>
      </c>
      <c r="F839" s="8">
        <f ca="1">IFERROR(__xludf.DUMMYFUNCTION("INDEX(GOOGLEFINANCE(A839, ""open"", DATE(2025,2,3), DATE(2025,2,3)), 2, 2)"),87.63)</f>
        <v>87.63</v>
      </c>
      <c r="G839" s="8">
        <f ca="1">IFERROR(__xludf.DUMMYFUNCTION("INDEX(GOOGLEFINANCE(A839, ""close"", DATE(2025,2,7), DATE(2025,2,7)), 2, 2)"),88.56)</f>
        <v>88.56</v>
      </c>
      <c r="H839" s="9">
        <f t="shared" ca="1" si="12"/>
        <v>-1.0612803834303399</v>
      </c>
      <c r="I839" s="10">
        <f t="shared" ca="1" si="13"/>
        <v>-10.612803834303399</v>
      </c>
      <c r="J839" s="10" t="str">
        <f t="shared" si="14"/>
        <v>Call Spread</v>
      </c>
      <c r="K839" s="10" t="str">
        <f t="shared" ca="1" si="15"/>
        <v>Success</v>
      </c>
    </row>
    <row r="840" spans="1:11" ht="16">
      <c r="A840" s="1" t="s">
        <v>859</v>
      </c>
      <c r="B840" s="1" t="s">
        <v>14</v>
      </c>
      <c r="C840" s="8">
        <v>53.17</v>
      </c>
      <c r="D840" s="8" t="s">
        <v>15</v>
      </c>
      <c r="E840" s="8">
        <v>49.77</v>
      </c>
      <c r="F840" s="8">
        <f ca="1">IFERROR(__xludf.DUMMYFUNCTION("INDEX(GOOGLEFINANCE(A840, ""open"", DATE(2025,2,3), DATE(2025,2,3)), 2, 2)"),50.75)</f>
        <v>50.75</v>
      </c>
      <c r="G840" s="8">
        <f ca="1">IFERROR(__xludf.DUMMYFUNCTION("INDEX(GOOGLEFINANCE(A840, ""close"", DATE(2025,2,7), DATE(2025,2,7)), 2, 2)"),51.82)</f>
        <v>51.82</v>
      </c>
      <c r="H840" s="9">
        <f t="shared" ca="1" si="12"/>
        <v>2.1083743842364537</v>
      </c>
      <c r="I840" s="10">
        <f t="shared" ca="1" si="13"/>
        <v>21.083743842364537</v>
      </c>
      <c r="J840" s="10" t="str">
        <f t="shared" si="14"/>
        <v>Put Spread</v>
      </c>
      <c r="K840" s="10" t="str">
        <f t="shared" ca="1" si="15"/>
        <v>Success</v>
      </c>
    </row>
    <row r="841" spans="1:11" ht="16">
      <c r="A841" s="1" t="s">
        <v>860</v>
      </c>
      <c r="B841" s="1" t="s">
        <v>38</v>
      </c>
      <c r="C841" s="8">
        <v>135.38</v>
      </c>
      <c r="D841" s="8" t="s">
        <v>39</v>
      </c>
      <c r="E841" s="8">
        <v>141.32</v>
      </c>
      <c r="F841" s="8">
        <f ca="1">IFERROR(__xludf.DUMMYFUNCTION("INDEX(GOOGLEFINANCE(A841, ""open"", DATE(2025,2,3), DATE(2025,2,3)), 2, 2)"),135.93)</f>
        <v>135.93</v>
      </c>
      <c r="G841" s="8">
        <f ca="1">IFERROR(__xludf.DUMMYFUNCTION("INDEX(GOOGLEFINANCE(A841, ""close"", DATE(2025,2,7), DATE(2025,2,7)), 2, 2)"),137.33)</f>
        <v>137.33000000000001</v>
      </c>
      <c r="H841" s="9">
        <f t="shared" ca="1" si="12"/>
        <v>-1.0299418818509569</v>
      </c>
      <c r="I841" s="10">
        <f t="shared" ca="1" si="13"/>
        <v>-10.299418818509569</v>
      </c>
      <c r="J841" s="10" t="str">
        <f t="shared" si="14"/>
        <v>Call Spread</v>
      </c>
      <c r="K841" s="10" t="str">
        <f t="shared" ca="1" si="15"/>
        <v>Success</v>
      </c>
    </row>
    <row r="842" spans="1:11" ht="16">
      <c r="A842" s="1" t="s">
        <v>861</v>
      </c>
      <c r="B842" s="1" t="s">
        <v>14</v>
      </c>
      <c r="C842" s="8">
        <v>238.06</v>
      </c>
      <c r="D842" s="8" t="s">
        <v>15</v>
      </c>
      <c r="E842" s="8">
        <v>223.56</v>
      </c>
      <c r="F842" s="8">
        <f ca="1">IFERROR(__xludf.DUMMYFUNCTION("INDEX(GOOGLEFINANCE(A842, ""open"", DATE(2025,2,3), DATE(2025,2,3)), 2, 2)"),225.7)</f>
        <v>225.7</v>
      </c>
      <c r="G842" s="8">
        <f ca="1">IFERROR(__xludf.DUMMYFUNCTION("INDEX(GOOGLEFINANCE(A842, ""close"", DATE(2025,2,7), DATE(2025,2,7)), 2, 2)"),232.82)</f>
        <v>232.82</v>
      </c>
      <c r="H842" s="9">
        <f t="shared" ca="1" si="12"/>
        <v>3.1546300398759435</v>
      </c>
      <c r="I842" s="10">
        <f t="shared" ca="1" si="13"/>
        <v>31.546300398759435</v>
      </c>
      <c r="J842" s="10" t="str">
        <f t="shared" si="14"/>
        <v>Put Spread</v>
      </c>
      <c r="K842" s="10" t="str">
        <f t="shared" ca="1" si="15"/>
        <v>Success</v>
      </c>
    </row>
    <row r="843" spans="1:11" ht="16">
      <c r="A843" s="1" t="s">
        <v>862</v>
      </c>
      <c r="B843" s="1" t="s">
        <v>14</v>
      </c>
      <c r="C843" s="8">
        <v>81.81</v>
      </c>
      <c r="D843" s="8" t="s">
        <v>15</v>
      </c>
      <c r="E843" s="8">
        <v>76.150000000000006</v>
      </c>
      <c r="F843" s="8">
        <f ca="1">IFERROR(__xludf.DUMMYFUNCTION("INDEX(GOOGLEFINANCE(A843, ""open"", DATE(2025,2,3), DATE(2025,2,3)), 2, 2)"),78.41)</f>
        <v>78.41</v>
      </c>
      <c r="G843" s="8">
        <f ca="1">IFERROR(__xludf.DUMMYFUNCTION("INDEX(GOOGLEFINANCE(A843, ""close"", DATE(2025,2,7), DATE(2025,2,7)), 2, 2)"),79.35)</f>
        <v>79.349999999999994</v>
      </c>
      <c r="H843" s="9">
        <f t="shared" ca="1" si="12"/>
        <v>1.1988266802703709</v>
      </c>
      <c r="I843" s="10">
        <f t="shared" ca="1" si="13"/>
        <v>11.988266802703709</v>
      </c>
      <c r="J843" s="10" t="str">
        <f t="shared" si="14"/>
        <v>Put Spread</v>
      </c>
      <c r="K843" s="10" t="str">
        <f t="shared" ca="1" si="15"/>
        <v>Success</v>
      </c>
    </row>
    <row r="844" spans="1:11" ht="16">
      <c r="A844" s="1" t="s">
        <v>863</v>
      </c>
      <c r="B844" s="1" t="s">
        <v>38</v>
      </c>
      <c r="C844" s="8">
        <v>39.69</v>
      </c>
      <c r="D844" s="8" t="s">
        <v>39</v>
      </c>
      <c r="E844" s="8">
        <v>43.15</v>
      </c>
      <c r="F844" s="8">
        <f ca="1">IFERROR(__xludf.DUMMYFUNCTION("INDEX(GOOGLEFINANCE(A844, ""open"", DATE(2025,2,3), DATE(2025,2,3)), 2, 2)"),41.08)</f>
        <v>41.08</v>
      </c>
      <c r="G844" s="8">
        <f ca="1">IFERROR(__xludf.DUMMYFUNCTION("INDEX(GOOGLEFINANCE(A844, ""close"", DATE(2025,2,7), DATE(2025,2,7)), 2, 2)"),41.97)</f>
        <v>41.97</v>
      </c>
      <c r="H844" s="9">
        <f t="shared" ca="1" si="12"/>
        <v>-2.1665043816942569</v>
      </c>
      <c r="I844" s="10">
        <f t="shared" ca="1" si="13"/>
        <v>-21.665043816942571</v>
      </c>
      <c r="J844" s="10" t="str">
        <f t="shared" si="14"/>
        <v>Call Spread</v>
      </c>
      <c r="K844" s="10" t="str">
        <f t="shared" ca="1" si="15"/>
        <v>Success</v>
      </c>
    </row>
    <row r="845" spans="1:11" ht="16">
      <c r="A845" s="1" t="s">
        <v>864</v>
      </c>
      <c r="B845" s="1" t="s">
        <v>38</v>
      </c>
      <c r="C845" s="8">
        <v>75.239999999999995</v>
      </c>
      <c r="D845" s="8" t="s">
        <v>39</v>
      </c>
      <c r="E845" s="8">
        <v>80.52</v>
      </c>
      <c r="F845" s="8">
        <f ca="1">IFERROR(__xludf.DUMMYFUNCTION("INDEX(GOOGLEFINANCE(A845, ""open"", DATE(2025,2,3), DATE(2025,2,3)), 2, 2)"),76.85)</f>
        <v>76.849999999999994</v>
      </c>
      <c r="G845" s="8">
        <f ca="1">IFERROR(__xludf.DUMMYFUNCTION("INDEX(GOOGLEFINANCE(A845, ""close"", DATE(2025,2,7), DATE(2025,2,7)), 2, 2)"),78.14)</f>
        <v>78.14</v>
      </c>
      <c r="H845" s="9">
        <f t="shared" ca="1" si="12"/>
        <v>-1.6785946649316934</v>
      </c>
      <c r="I845" s="10">
        <f t="shared" ca="1" si="13"/>
        <v>-16.785946649316934</v>
      </c>
      <c r="J845" s="10" t="str">
        <f t="shared" si="14"/>
        <v>Call Spread</v>
      </c>
      <c r="K845" s="10" t="str">
        <f t="shared" ca="1" si="15"/>
        <v>Success</v>
      </c>
    </row>
    <row r="846" spans="1:11" ht="16">
      <c r="A846" s="1" t="s">
        <v>865</v>
      </c>
      <c r="B846" s="1" t="s">
        <v>14</v>
      </c>
      <c r="C846" s="8">
        <v>149.96</v>
      </c>
      <c r="D846" s="8" t="s">
        <v>15</v>
      </c>
      <c r="E846" s="8">
        <v>143.78</v>
      </c>
      <c r="F846" s="8">
        <f ca="1">IFERROR(__xludf.DUMMYFUNCTION("INDEX(GOOGLEFINANCE(A846, ""open"", DATE(2025,2,3), DATE(2025,2,3)), 2, 2)"),145.98)</f>
        <v>145.97999999999999</v>
      </c>
      <c r="G846" s="8">
        <f ca="1">IFERROR(__xludf.DUMMYFUNCTION("INDEX(GOOGLEFINANCE(A846, ""close"", DATE(2025,2,7), DATE(2025,2,7)), 2, 2)"),146.43)</f>
        <v>146.43</v>
      </c>
      <c r="H846" s="9">
        <f t="shared" ca="1" si="12"/>
        <v>0.30826140567202159</v>
      </c>
      <c r="I846" s="10">
        <f t="shared" ca="1" si="13"/>
        <v>3.0826140567202156</v>
      </c>
      <c r="J846" s="10" t="str">
        <f t="shared" si="14"/>
        <v>Put Spread</v>
      </c>
      <c r="K846" s="10" t="str">
        <f t="shared" ca="1" si="15"/>
        <v>Success</v>
      </c>
    </row>
    <row r="847" spans="1:11" ht="16">
      <c r="A847" s="1" t="s">
        <v>866</v>
      </c>
      <c r="B847" s="1" t="s">
        <v>14</v>
      </c>
      <c r="C847" s="8">
        <v>238.81</v>
      </c>
      <c r="D847" s="8" t="s">
        <v>15</v>
      </c>
      <c r="E847" s="8">
        <v>225.53</v>
      </c>
      <c r="F847" s="8">
        <f ca="1">IFERROR(__xludf.DUMMYFUNCTION("INDEX(GOOGLEFINANCE(A847, ""open"", DATE(2025,2,3), DATE(2025,2,3)), 2, 2)"),227.14)</f>
        <v>227.14</v>
      </c>
      <c r="G847" s="8">
        <f ca="1">IFERROR(__xludf.DUMMYFUNCTION("INDEX(GOOGLEFINANCE(A847, ""close"", DATE(2025,2,7), DATE(2025,2,7)), 2, 2)"),225.58)</f>
        <v>225.58</v>
      </c>
      <c r="H847" s="9">
        <f t="shared" ca="1" si="12"/>
        <v>-0.68680109183762172</v>
      </c>
      <c r="I847" s="10">
        <f t="shared" ca="1" si="13"/>
        <v>-6.8680109183762168</v>
      </c>
      <c r="J847" s="10" t="str">
        <f t="shared" si="14"/>
        <v>Put Spread</v>
      </c>
      <c r="K847" s="10" t="str">
        <f t="shared" ca="1" si="15"/>
        <v>Success</v>
      </c>
    </row>
    <row r="848" spans="1:11" ht="16">
      <c r="A848" s="1" t="s">
        <v>867</v>
      </c>
      <c r="B848" s="1" t="s">
        <v>38</v>
      </c>
      <c r="C848" s="8">
        <v>56.5</v>
      </c>
      <c r="D848" s="8" t="s">
        <v>39</v>
      </c>
      <c r="E848" s="8">
        <v>62.1</v>
      </c>
      <c r="F848" s="8">
        <f ca="1">IFERROR(__xludf.DUMMYFUNCTION("INDEX(GOOGLEFINANCE(A848, ""open"", DATE(2025,2,3), DATE(2025,2,3)), 2, 2)"),58.68)</f>
        <v>58.68</v>
      </c>
      <c r="G848" s="8">
        <f ca="1">IFERROR(__xludf.DUMMYFUNCTION("INDEX(GOOGLEFINANCE(A848, ""close"", DATE(2025,2,7), DATE(2025,2,7)), 2, 2)"),60.25)</f>
        <v>60.25</v>
      </c>
      <c r="H848" s="9">
        <f t="shared" ca="1" si="12"/>
        <v>-2.6755282890252219</v>
      </c>
      <c r="I848" s="10">
        <f t="shared" ca="1" si="13"/>
        <v>-26.755282890252218</v>
      </c>
      <c r="J848" s="10" t="str">
        <f t="shared" si="14"/>
        <v>Call Spread</v>
      </c>
      <c r="K848" s="10" t="str">
        <f t="shared" ca="1" si="15"/>
        <v>Success</v>
      </c>
    </row>
    <row r="849" spans="1:11" ht="16">
      <c r="A849" s="1" t="s">
        <v>868</v>
      </c>
      <c r="B849" s="1" t="s">
        <v>14</v>
      </c>
      <c r="C849" s="8">
        <v>109.67</v>
      </c>
      <c r="D849" s="8" t="s">
        <v>15</v>
      </c>
      <c r="E849" s="8">
        <v>103.99</v>
      </c>
      <c r="F849" s="8">
        <f ca="1">IFERROR(__xludf.DUMMYFUNCTION("INDEX(GOOGLEFINANCE(A849, ""open"", DATE(2025,2,3), DATE(2025,2,3)), 2, 2)"),106.64)</f>
        <v>106.64</v>
      </c>
      <c r="G849" s="8">
        <f ca="1">IFERROR(__xludf.DUMMYFUNCTION("INDEX(GOOGLEFINANCE(A849, ""close"", DATE(2025,2,7), DATE(2025,2,7)), 2, 2)"),108.89)</f>
        <v>108.89</v>
      </c>
      <c r="H849" s="9">
        <f t="shared" ca="1" si="12"/>
        <v>2.1099024756189046</v>
      </c>
      <c r="I849" s="10">
        <f t="shared" ca="1" si="13"/>
        <v>21.099024756189046</v>
      </c>
      <c r="J849" s="10" t="str">
        <f t="shared" si="14"/>
        <v>Put Spread</v>
      </c>
      <c r="K849" s="10" t="str">
        <f t="shared" ca="1" si="15"/>
        <v>Success</v>
      </c>
    </row>
    <row r="850" spans="1:11" ht="16">
      <c r="A850" s="1" t="s">
        <v>869</v>
      </c>
      <c r="B850" s="1" t="s">
        <v>38</v>
      </c>
      <c r="C850" s="8">
        <v>129.16</v>
      </c>
      <c r="D850" s="8" t="s">
        <v>39</v>
      </c>
      <c r="E850" s="8">
        <v>139.16</v>
      </c>
      <c r="F850" s="8">
        <f ca="1">IFERROR(__xludf.DUMMYFUNCTION("INDEX(GOOGLEFINANCE(A850, ""open"", DATE(2025,2,3), DATE(2025,2,3)), 2, 2)"),133.99)</f>
        <v>133.99</v>
      </c>
      <c r="G850" s="8">
        <f ca="1">IFERROR(__xludf.DUMMYFUNCTION("INDEX(GOOGLEFINANCE(A850, ""close"", DATE(2025,2,7), DATE(2025,2,7)), 2, 2)"),133.25)</f>
        <v>133.25</v>
      </c>
      <c r="H850" s="9">
        <f t="shared" ca="1" si="12"/>
        <v>0.55228002089708861</v>
      </c>
      <c r="I850" s="10">
        <f t="shared" ca="1" si="13"/>
        <v>5.522800208970887</v>
      </c>
      <c r="J850" s="10" t="str">
        <f t="shared" si="14"/>
        <v>Call Spread</v>
      </c>
      <c r="K850" s="10" t="str">
        <f t="shared" ca="1" si="15"/>
        <v>Success</v>
      </c>
    </row>
    <row r="851" spans="1:11" ht="16">
      <c r="A851" s="1" t="s">
        <v>870</v>
      </c>
      <c r="B851" s="1" t="s">
        <v>38</v>
      </c>
      <c r="C851" s="8">
        <v>11.66</v>
      </c>
      <c r="D851" s="8" t="s">
        <v>39</v>
      </c>
      <c r="E851" s="8">
        <v>15.64</v>
      </c>
      <c r="F851" s="8">
        <f ca="1">IFERROR(__xludf.DUMMYFUNCTION("INDEX(GOOGLEFINANCE(A851, ""open"", DATE(2025,2,3), DATE(2025,2,3)), 2, 2)"),13.24)</f>
        <v>13.24</v>
      </c>
      <c r="G851" s="8">
        <f ca="1">IFERROR(__xludf.DUMMYFUNCTION("INDEX(GOOGLEFINANCE(A851, ""close"", DATE(2025,2,7), DATE(2025,2,7)), 2, 2)"),13.93)</f>
        <v>13.93</v>
      </c>
      <c r="H851" s="9">
        <f t="shared" ca="1" si="12"/>
        <v>-5.2114803625377606</v>
      </c>
      <c r="I851" s="10">
        <f t="shared" ca="1" si="13"/>
        <v>-52.114803625377611</v>
      </c>
      <c r="J851" s="10" t="str">
        <f t="shared" si="14"/>
        <v>Call Spread</v>
      </c>
      <c r="K851" s="10" t="str">
        <f t="shared" ca="1" si="15"/>
        <v>Success</v>
      </c>
    </row>
    <row r="852" spans="1:11" ht="16">
      <c r="A852" s="1" t="s">
        <v>871</v>
      </c>
      <c r="B852" s="1" t="s">
        <v>14</v>
      </c>
      <c r="C852" s="8">
        <v>16.77</v>
      </c>
      <c r="D852" s="8" t="s">
        <v>15</v>
      </c>
      <c r="E852" s="8">
        <v>13.67</v>
      </c>
      <c r="F852" s="8">
        <f ca="1">IFERROR(__xludf.DUMMYFUNCTION("INDEX(GOOGLEFINANCE(A852, ""open"", DATE(2025,2,3), DATE(2025,2,3)), 2, 2)"),14.88)</f>
        <v>14.88</v>
      </c>
      <c r="G852" s="8">
        <f ca="1">IFERROR(__xludf.DUMMYFUNCTION("INDEX(GOOGLEFINANCE(A852, ""close"", DATE(2025,2,7), DATE(2025,2,7)), 2, 2)"),16.93)</f>
        <v>16.93</v>
      </c>
      <c r="H852" s="9">
        <f t="shared" ca="1" si="12"/>
        <v>13.776881720430101</v>
      </c>
      <c r="I852" s="10">
        <f t="shared" ca="1" si="13"/>
        <v>137.768817204301</v>
      </c>
      <c r="J852" s="10" t="str">
        <f t="shared" si="14"/>
        <v>Put Spread</v>
      </c>
      <c r="K852" s="10" t="str">
        <f t="shared" ca="1" si="15"/>
        <v>Success</v>
      </c>
    </row>
    <row r="853" spans="1:11" ht="16">
      <c r="A853" s="1" t="s">
        <v>872</v>
      </c>
      <c r="B853" s="1" t="s">
        <v>38</v>
      </c>
      <c r="C853" s="8">
        <v>44.04</v>
      </c>
      <c r="D853" s="8" t="s">
        <v>39</v>
      </c>
      <c r="E853" s="8">
        <v>46.08</v>
      </c>
      <c r="F853" s="8">
        <f ca="1">IFERROR(__xludf.DUMMYFUNCTION("INDEX(GOOGLEFINANCE(A853, ""open"", DATE(2025,2,3), DATE(2025,2,3)), 2, 2)"),44.44)</f>
        <v>44.44</v>
      </c>
      <c r="G853" s="8">
        <f ca="1">IFERROR(__xludf.DUMMYFUNCTION("INDEX(GOOGLEFINANCE(A853, ""close"", DATE(2025,2,7), DATE(2025,2,7)), 2, 2)"),44.56)</f>
        <v>44.56</v>
      </c>
      <c r="H853" s="9">
        <f t="shared" ca="1" si="12"/>
        <v>-0.27002700270028024</v>
      </c>
      <c r="I853" s="10">
        <f t="shared" ca="1" si="13"/>
        <v>-2.7002700270028028</v>
      </c>
      <c r="J853" s="10" t="str">
        <f t="shared" si="14"/>
        <v>Call Spread</v>
      </c>
      <c r="K853" s="10" t="str">
        <f t="shared" ca="1" si="15"/>
        <v>Success</v>
      </c>
    </row>
    <row r="854" spans="1:11" ht="16">
      <c r="A854" s="1" t="s">
        <v>873</v>
      </c>
      <c r="B854" s="1" t="s">
        <v>14</v>
      </c>
      <c r="C854" s="8">
        <v>142.66</v>
      </c>
      <c r="D854" s="8" t="s">
        <v>15</v>
      </c>
      <c r="E854" s="8">
        <v>124.68</v>
      </c>
      <c r="F854" s="8">
        <f ca="1">IFERROR(__xludf.DUMMYFUNCTION("INDEX(GOOGLEFINANCE(A854, ""open"", DATE(2025,2,3), DATE(2025,2,3)), 2, 2)"),130.4)</f>
        <v>130.4</v>
      </c>
      <c r="G854" s="8">
        <f ca="1">IFERROR(__xludf.DUMMYFUNCTION("INDEX(GOOGLEFINANCE(A854, ""close"", DATE(2025,2,7), DATE(2025,2,7)), 2, 2)"),148.16)</f>
        <v>148.16</v>
      </c>
      <c r="H854" s="9">
        <f t="shared" ca="1" si="12"/>
        <v>13.619631901840485</v>
      </c>
      <c r="I854" s="10">
        <f t="shared" ca="1" si="13"/>
        <v>136.19631901840484</v>
      </c>
      <c r="J854" s="10" t="str">
        <f t="shared" si="14"/>
        <v>Put Spread</v>
      </c>
      <c r="K854" s="10" t="str">
        <f t="shared" ca="1" si="15"/>
        <v>Success</v>
      </c>
    </row>
    <row r="855" spans="1:11" ht="16">
      <c r="A855" s="1" t="s">
        <v>874</v>
      </c>
      <c r="B855" s="1" t="s">
        <v>38</v>
      </c>
      <c r="C855" s="8">
        <v>77.48</v>
      </c>
      <c r="D855" s="8" t="s">
        <v>39</v>
      </c>
      <c r="E855" s="8">
        <v>83.02</v>
      </c>
      <c r="F855" s="8">
        <f ca="1">IFERROR(__xludf.DUMMYFUNCTION("INDEX(GOOGLEFINANCE(A855, ""open"", DATE(2025,2,3), DATE(2025,2,3)), 2, 2)"),78.47)</f>
        <v>78.47</v>
      </c>
      <c r="G855" s="8">
        <f ca="1">IFERROR(__xludf.DUMMYFUNCTION("INDEX(GOOGLEFINANCE(A855, ""close"", DATE(2025,2,7), DATE(2025,2,7)), 2, 2)"),78.27)</f>
        <v>78.27</v>
      </c>
      <c r="H855" s="9">
        <f t="shared" ca="1" si="12"/>
        <v>0.25487447432140031</v>
      </c>
      <c r="I855" s="10">
        <f t="shared" ca="1" si="13"/>
        <v>2.5487447432140029</v>
      </c>
      <c r="J855" s="10" t="str">
        <f t="shared" si="14"/>
        <v>Call Spread</v>
      </c>
      <c r="K855" s="10" t="str">
        <f t="shared" ca="1" si="15"/>
        <v>Success</v>
      </c>
    </row>
    <row r="856" spans="1:11" ht="16">
      <c r="A856" s="1" t="s">
        <v>875</v>
      </c>
      <c r="B856" s="1" t="s">
        <v>14</v>
      </c>
      <c r="C856" s="8">
        <v>92.15</v>
      </c>
      <c r="D856" s="8" t="s">
        <v>15</v>
      </c>
      <c r="E856" s="8">
        <v>86.73</v>
      </c>
      <c r="F856" s="8">
        <f ca="1">IFERROR(__xludf.DUMMYFUNCTION("INDEX(GOOGLEFINANCE(A856, ""open"", DATE(2025,2,3), DATE(2025,2,3)), 2, 2)"),87.39)</f>
        <v>87.39</v>
      </c>
      <c r="G856" s="8">
        <f ca="1">IFERROR(__xludf.DUMMYFUNCTION("INDEX(GOOGLEFINANCE(A856, ""close"", DATE(2025,2,7), DATE(2025,2,7)), 2, 2)"),88.35)</f>
        <v>88.35</v>
      </c>
      <c r="H856" s="9">
        <f t="shared" ca="1" si="12"/>
        <v>1.0985238585650461</v>
      </c>
      <c r="I856" s="10">
        <f t="shared" ca="1" si="13"/>
        <v>10.98523858565046</v>
      </c>
      <c r="J856" s="10" t="str">
        <f t="shared" si="14"/>
        <v>Put Spread</v>
      </c>
      <c r="K856" s="10" t="str">
        <f t="shared" ca="1" si="15"/>
        <v>Success</v>
      </c>
    </row>
    <row r="857" spans="1:11" ht="16">
      <c r="A857" s="1" t="s">
        <v>876</v>
      </c>
      <c r="B857" s="1" t="s">
        <v>14</v>
      </c>
      <c r="C857" s="8">
        <v>67.58</v>
      </c>
      <c r="D857" s="8" t="s">
        <v>15</v>
      </c>
      <c r="E857" s="8">
        <v>52.08</v>
      </c>
      <c r="F857" s="8">
        <f ca="1">IFERROR(__xludf.DUMMYFUNCTION("INDEX(GOOGLEFINANCE(A857, ""open"", DATE(2025,2,3), DATE(2025,2,3)), 2, 2)"),63.2)</f>
        <v>63.2</v>
      </c>
      <c r="G857" s="8">
        <f ca="1">IFERROR(__xludf.DUMMYFUNCTION("INDEX(GOOGLEFINANCE(A857, ""close"", DATE(2025,2,7), DATE(2025,2,7)), 2, 2)"),55.29)</f>
        <v>55.29</v>
      </c>
      <c r="H857" s="9">
        <f t="shared" ca="1" si="12"/>
        <v>-12.515822784810132</v>
      </c>
      <c r="I857" s="10">
        <f t="shared" ca="1" si="13"/>
        <v>-125.15822784810132</v>
      </c>
      <c r="J857" s="10" t="str">
        <f t="shared" si="14"/>
        <v>Put Spread</v>
      </c>
      <c r="K857" s="10" t="str">
        <f t="shared" ca="1" si="15"/>
        <v>Success</v>
      </c>
    </row>
    <row r="858" spans="1:11" ht="16">
      <c r="A858" s="1" t="s">
        <v>877</v>
      </c>
      <c r="B858" s="1" t="s">
        <v>14</v>
      </c>
      <c r="C858" s="8">
        <v>21.18</v>
      </c>
      <c r="D858" s="8" t="s">
        <v>15</v>
      </c>
      <c r="E858" s="8">
        <v>20.14</v>
      </c>
      <c r="F858" s="8">
        <f ca="1">IFERROR(__xludf.DUMMYFUNCTION("INDEX(GOOGLEFINANCE(A858, ""open"", DATE(2025,2,3), DATE(2025,2,3)), 2, 2)"),20.88)</f>
        <v>20.88</v>
      </c>
      <c r="G858" s="8">
        <f ca="1">IFERROR(__xludf.DUMMYFUNCTION("INDEX(GOOGLEFINANCE(A858, ""close"", DATE(2025,2,7), DATE(2025,2,7)), 2, 2)"),21.57)</f>
        <v>21.57</v>
      </c>
      <c r="H858" s="9">
        <f t="shared" ca="1" si="12"/>
        <v>3.3045977011494316</v>
      </c>
      <c r="I858" s="10">
        <f t="shared" ca="1" si="13"/>
        <v>33.045977011494315</v>
      </c>
      <c r="J858" s="10" t="str">
        <f t="shared" si="14"/>
        <v>Put Spread</v>
      </c>
      <c r="K858" s="10" t="str">
        <f t="shared" ca="1" si="15"/>
        <v>Success</v>
      </c>
    </row>
    <row r="859" spans="1:11" ht="16">
      <c r="A859" s="1" t="s">
        <v>878</v>
      </c>
      <c r="B859" s="1" t="s">
        <v>38</v>
      </c>
      <c r="C859" s="8">
        <v>45</v>
      </c>
      <c r="D859" s="8" t="s">
        <v>39</v>
      </c>
      <c r="E859" s="8">
        <v>48.42</v>
      </c>
      <c r="F859" s="8">
        <f ca="1">IFERROR(__xludf.DUMMYFUNCTION("INDEX(GOOGLEFINANCE(A859, ""open"", DATE(2025,2,3), DATE(2025,2,3)), 2, 2)"),46.25)</f>
        <v>46.25</v>
      </c>
      <c r="G859" s="8">
        <f ca="1">IFERROR(__xludf.DUMMYFUNCTION("INDEX(GOOGLEFINANCE(A859, ""close"", DATE(2025,2,7), DATE(2025,2,7)), 2, 2)"),44.06)</f>
        <v>44.06</v>
      </c>
      <c r="H859" s="9">
        <f t="shared" ca="1" si="12"/>
        <v>4.7351351351351303</v>
      </c>
      <c r="I859" s="10">
        <f t="shared" ca="1" si="13"/>
        <v>47.351351351351305</v>
      </c>
      <c r="J859" s="10" t="str">
        <f t="shared" si="14"/>
        <v>Call Spread</v>
      </c>
      <c r="K859" s="10" t="str">
        <f t="shared" ca="1" si="15"/>
        <v>Success</v>
      </c>
    </row>
    <row r="860" spans="1:11" ht="16">
      <c r="A860" s="1" t="s">
        <v>879</v>
      </c>
      <c r="B860" s="1" t="s">
        <v>14</v>
      </c>
      <c r="C860" s="8">
        <v>35.36</v>
      </c>
      <c r="D860" s="8" t="s">
        <v>15</v>
      </c>
      <c r="E860" s="8">
        <v>27.12</v>
      </c>
      <c r="F860" s="8">
        <f ca="1">IFERROR(__xludf.DUMMYFUNCTION("INDEX(GOOGLEFINANCE(A860, ""open"", DATE(2025,2,3), DATE(2025,2,3)), 2, 2)"),29.58)</f>
        <v>29.58</v>
      </c>
      <c r="G860" s="8">
        <f ca="1">IFERROR(__xludf.DUMMYFUNCTION("INDEX(GOOGLEFINANCE(A860, ""close"", DATE(2025,2,7), DATE(2025,2,7)), 2, 2)"),33.67)</f>
        <v>33.67</v>
      </c>
      <c r="H860" s="9">
        <f t="shared" ca="1" si="12"/>
        <v>13.82691007437459</v>
      </c>
      <c r="I860" s="10">
        <f t="shared" ca="1" si="13"/>
        <v>138.26910074374589</v>
      </c>
      <c r="J860" s="10" t="str">
        <f t="shared" si="14"/>
        <v>Put Spread</v>
      </c>
      <c r="K860" s="10" t="str">
        <f t="shared" ca="1" si="15"/>
        <v>Success</v>
      </c>
    </row>
    <row r="861" spans="1:11" ht="16">
      <c r="A861" s="1" t="s">
        <v>880</v>
      </c>
      <c r="B861" s="1" t="s">
        <v>38</v>
      </c>
      <c r="C861" s="8">
        <v>37.119999999999997</v>
      </c>
      <c r="D861" s="8" t="s">
        <v>39</v>
      </c>
      <c r="E861" s="8">
        <v>41.82</v>
      </c>
      <c r="F861" s="8">
        <f ca="1">IFERROR(__xludf.DUMMYFUNCTION("INDEX(GOOGLEFINANCE(A861, ""open"", DATE(2025,2,3), DATE(2025,2,3)), 2, 2)"),38.53)</f>
        <v>38.53</v>
      </c>
      <c r="G861" s="8">
        <f ca="1">IFERROR(__xludf.DUMMYFUNCTION("INDEX(GOOGLEFINANCE(A861, ""close"", DATE(2025,2,7), DATE(2025,2,7)), 2, 2)"),37.79)</f>
        <v>37.79</v>
      </c>
      <c r="H861" s="9">
        <f t="shared" ca="1" si="12"/>
        <v>1.9205813651700026</v>
      </c>
      <c r="I861" s="10">
        <f t="shared" ca="1" si="13"/>
        <v>19.205813651700026</v>
      </c>
      <c r="J861" s="10" t="str">
        <f t="shared" si="14"/>
        <v>Call Spread</v>
      </c>
      <c r="K861" s="10" t="str">
        <f t="shared" ca="1" si="15"/>
        <v>Success</v>
      </c>
    </row>
    <row r="862" spans="1:11" ht="16">
      <c r="A862" s="1" t="s">
        <v>881</v>
      </c>
      <c r="B862" s="1" t="s">
        <v>14</v>
      </c>
      <c r="C862" s="8">
        <v>45.65</v>
      </c>
      <c r="D862" s="8" t="s">
        <v>15</v>
      </c>
      <c r="E862" s="8">
        <v>41.05</v>
      </c>
      <c r="F862" s="8">
        <f ca="1">IFERROR(__xludf.DUMMYFUNCTION("INDEX(GOOGLEFINANCE(A862, ""open"", DATE(2025,2,3), DATE(2025,2,3)), 2, 2)"),41.92)</f>
        <v>41.92</v>
      </c>
      <c r="G862" s="8">
        <f ca="1">IFERROR(__xludf.DUMMYFUNCTION("INDEX(GOOGLEFINANCE(A862, ""close"", DATE(2025,2,7), DATE(2025,2,7)), 2, 2)"),46.32)</f>
        <v>46.32</v>
      </c>
      <c r="H862" s="9">
        <f t="shared" ca="1" si="12"/>
        <v>10.496183206106867</v>
      </c>
      <c r="I862" s="10">
        <f t="shared" ca="1" si="13"/>
        <v>104.96183206106868</v>
      </c>
      <c r="J862" s="10" t="str">
        <f t="shared" si="14"/>
        <v>Put Spread</v>
      </c>
      <c r="K862" s="10" t="str">
        <f t="shared" ca="1" si="15"/>
        <v>Success</v>
      </c>
    </row>
    <row r="863" spans="1:11" ht="16">
      <c r="A863" s="1" t="s">
        <v>882</v>
      </c>
      <c r="B863" s="1" t="s">
        <v>14</v>
      </c>
      <c r="C863" s="8">
        <v>87.1</v>
      </c>
      <c r="D863" s="8" t="s">
        <v>15</v>
      </c>
      <c r="E863" s="8">
        <v>77.34</v>
      </c>
      <c r="F863" s="8">
        <f ca="1">IFERROR(__xludf.DUMMYFUNCTION("INDEX(GOOGLEFINANCE(A863, ""open"", DATE(2025,2,3), DATE(2025,2,3)), 2, 2)"),81.8)</f>
        <v>81.8</v>
      </c>
      <c r="G863" s="8">
        <f ca="1">IFERROR(__xludf.DUMMYFUNCTION("INDEX(GOOGLEFINANCE(A863, ""close"", DATE(2025,2,7), DATE(2025,2,7)), 2, 2)"),87.32)</f>
        <v>87.32</v>
      </c>
      <c r="H863" s="9">
        <f t="shared" ca="1" si="12"/>
        <v>6.7481662591686993</v>
      </c>
      <c r="I863" s="10">
        <f t="shared" ca="1" si="13"/>
        <v>67.481662591686984</v>
      </c>
      <c r="J863" s="10" t="str">
        <f t="shared" si="14"/>
        <v>Put Spread</v>
      </c>
      <c r="K863" s="10" t="str">
        <f t="shared" ca="1" si="15"/>
        <v>Success</v>
      </c>
    </row>
    <row r="864" spans="1:11" ht="16">
      <c r="A864" s="1" t="s">
        <v>883</v>
      </c>
      <c r="B864" s="1" t="s">
        <v>38</v>
      </c>
      <c r="C864" s="8">
        <v>14.61</v>
      </c>
      <c r="D864" s="8" t="s">
        <v>39</v>
      </c>
      <c r="E864" s="8">
        <v>20.99</v>
      </c>
      <c r="F864" s="8">
        <f ca="1">IFERROR(__xludf.DUMMYFUNCTION("INDEX(GOOGLEFINANCE(A864, ""open"", DATE(2025,2,3), DATE(2025,2,3)), 2, 2)"),16.96)</f>
        <v>16.96</v>
      </c>
      <c r="G864" s="8">
        <f ca="1">IFERROR(__xludf.DUMMYFUNCTION("INDEX(GOOGLEFINANCE(A864, ""close"", DATE(2025,2,7), DATE(2025,2,7)), 2, 2)"),18.09)</f>
        <v>18.09</v>
      </c>
      <c r="H864" s="9">
        <f t="shared" ca="1" si="12"/>
        <v>-6.6627358490565971</v>
      </c>
      <c r="I864" s="10">
        <f t="shared" ca="1" si="13"/>
        <v>-66.627358490565982</v>
      </c>
      <c r="J864" s="10" t="str">
        <f t="shared" si="14"/>
        <v>Call Spread</v>
      </c>
      <c r="K864" s="10" t="str">
        <f t="shared" ca="1" si="15"/>
        <v>Success</v>
      </c>
    </row>
    <row r="865" spans="1:11" ht="16">
      <c r="A865" s="1" t="s">
        <v>884</v>
      </c>
      <c r="B865" s="1" t="s">
        <v>14</v>
      </c>
      <c r="C865" s="8">
        <v>91.98</v>
      </c>
      <c r="D865" s="8" t="s">
        <v>15</v>
      </c>
      <c r="E865" s="8">
        <v>81.900000000000006</v>
      </c>
      <c r="F865" s="8">
        <f ca="1">IFERROR(__xludf.DUMMYFUNCTION("INDEX(GOOGLEFINANCE(A865, ""open"", DATE(2025,2,3), DATE(2025,2,3)), 2, 2)"),85.5)</f>
        <v>85.5</v>
      </c>
      <c r="G865" s="8">
        <f ca="1">IFERROR(__xludf.DUMMYFUNCTION("INDEX(GOOGLEFINANCE(A865, ""close"", DATE(2025,2,7), DATE(2025,2,7)), 2, 2)"),86.12)</f>
        <v>86.12</v>
      </c>
      <c r="H865" s="9">
        <f t="shared" ca="1" si="12"/>
        <v>0.72514619883041465</v>
      </c>
      <c r="I865" s="10">
        <f t="shared" ca="1" si="13"/>
        <v>7.251461988304146</v>
      </c>
      <c r="J865" s="10" t="str">
        <f t="shared" si="14"/>
        <v>Put Spread</v>
      </c>
      <c r="K865" s="10" t="str">
        <f t="shared" ca="1" si="15"/>
        <v>Success</v>
      </c>
    </row>
    <row r="866" spans="1:11" ht="16">
      <c r="A866" s="1" t="s">
        <v>885</v>
      </c>
      <c r="B866" s="1" t="s">
        <v>14</v>
      </c>
      <c r="C866" s="8">
        <v>70.319999999999993</v>
      </c>
      <c r="D866" s="8" t="s">
        <v>15</v>
      </c>
      <c r="E866" s="8">
        <v>65.48</v>
      </c>
      <c r="F866" s="8">
        <f ca="1">IFERROR(__xludf.DUMMYFUNCTION("INDEX(GOOGLEFINANCE(A866, ""open"", DATE(2025,2,3), DATE(2025,2,3)), 2, 2)"),69.47)</f>
        <v>69.47</v>
      </c>
      <c r="G866" s="8">
        <f ca="1">IFERROR(__xludf.DUMMYFUNCTION("INDEX(GOOGLEFINANCE(A866, ""close"", DATE(2025,2,7), DATE(2025,2,7)), 2, 2)"),70.37)</f>
        <v>70.37</v>
      </c>
      <c r="H866" s="9">
        <f t="shared" ca="1" si="12"/>
        <v>1.2955232474449485</v>
      </c>
      <c r="I866" s="10">
        <f t="shared" ca="1" si="13"/>
        <v>12.955232474449485</v>
      </c>
      <c r="J866" s="10" t="str">
        <f t="shared" si="14"/>
        <v>Put Spread</v>
      </c>
      <c r="K866" s="10" t="str">
        <f t="shared" ca="1" si="15"/>
        <v>Success</v>
      </c>
    </row>
    <row r="867" spans="1:11" ht="16">
      <c r="A867" s="1" t="s">
        <v>886</v>
      </c>
      <c r="B867" s="1" t="s">
        <v>14</v>
      </c>
      <c r="C867" s="8">
        <v>217.29</v>
      </c>
      <c r="D867" s="8" t="s">
        <v>15</v>
      </c>
      <c r="E867" s="8">
        <v>187.89</v>
      </c>
      <c r="F867" s="8">
        <f ca="1">IFERROR(__xludf.DUMMYFUNCTION("INDEX(GOOGLEFINANCE(A867, ""open"", DATE(2025,2,3), DATE(2025,2,3)), 2, 2)"),198.88)</f>
        <v>198.88</v>
      </c>
      <c r="G867" s="8">
        <f ca="1">IFERROR(__xludf.DUMMYFUNCTION("INDEX(GOOGLEFINANCE(A867, ""close"", DATE(2025,2,7), DATE(2025,2,7)), 2, 2)"),205.53)</f>
        <v>205.53</v>
      </c>
      <c r="H867" s="9">
        <f t="shared" ca="1" si="12"/>
        <v>3.343724859211588</v>
      </c>
      <c r="I867" s="10">
        <f t="shared" ca="1" si="13"/>
        <v>33.437248592115878</v>
      </c>
      <c r="J867" s="10" t="str">
        <f t="shared" si="14"/>
        <v>Put Spread</v>
      </c>
      <c r="K867" s="10" t="str">
        <f t="shared" ca="1" si="15"/>
        <v>Success</v>
      </c>
    </row>
    <row r="868" spans="1:11" ht="15.75" customHeight="1">
      <c r="A868" s="1"/>
      <c r="B868" s="1"/>
    </row>
    <row r="869" spans="1:11" ht="15.75" customHeight="1">
      <c r="A869" s="1"/>
      <c r="B869" s="1"/>
    </row>
    <row r="870" spans="1:11" ht="15.75" customHeight="1">
      <c r="A870" s="1"/>
      <c r="B870" s="1"/>
    </row>
    <row r="871" spans="1:11" ht="15.75" customHeight="1">
      <c r="A871" s="1"/>
      <c r="B871" s="1"/>
    </row>
    <row r="872" spans="1:11" ht="15.75" customHeight="1">
      <c r="A872" s="1"/>
      <c r="B872" s="1"/>
    </row>
    <row r="873" spans="1:11" ht="15.75" customHeight="1">
      <c r="A873" s="1"/>
      <c r="B873" s="1"/>
    </row>
    <row r="874" spans="1:11" ht="15.75" customHeight="1">
      <c r="A874" s="1"/>
      <c r="B874" s="1"/>
    </row>
    <row r="875" spans="1:11" ht="15.75" customHeight="1">
      <c r="A875" s="1"/>
      <c r="B875" s="1"/>
    </row>
    <row r="876" spans="1:11" ht="15.75" customHeight="1">
      <c r="A876" s="1"/>
      <c r="B876" s="1"/>
    </row>
    <row r="877" spans="1:11" ht="15.75" customHeight="1">
      <c r="A877" s="1"/>
      <c r="B877" s="1"/>
    </row>
    <row r="878" spans="1:11" ht="15.75" customHeight="1">
      <c r="A878" s="1"/>
      <c r="B878" s="1"/>
    </row>
    <row r="879" spans="1:11" ht="15.75" customHeight="1">
      <c r="A879" s="1"/>
      <c r="B879" s="1"/>
    </row>
    <row r="880" spans="1:11" ht="15.75" customHeight="1">
      <c r="A880" s="1"/>
      <c r="B880" s="1"/>
    </row>
    <row r="881" spans="1:2" ht="15.75" customHeight="1">
      <c r="A881" s="1"/>
      <c r="B881" s="1"/>
    </row>
    <row r="882" spans="1:2" ht="15.75" customHeight="1">
      <c r="A882" s="1"/>
      <c r="B882" s="1"/>
    </row>
    <row r="883" spans="1:2" ht="15.75" customHeight="1">
      <c r="A883" s="1"/>
      <c r="B883" s="1"/>
    </row>
    <row r="884" spans="1:2" ht="15.75" customHeight="1">
      <c r="A884" s="1"/>
      <c r="B884" s="1"/>
    </row>
    <row r="885" spans="1:2" ht="15.75" customHeight="1">
      <c r="A885" s="1"/>
      <c r="B885" s="1"/>
    </row>
    <row r="886" spans="1:2" ht="15.75" customHeight="1">
      <c r="A886" s="1"/>
      <c r="B886" s="1"/>
    </row>
    <row r="887" spans="1:2" ht="15.75" customHeight="1">
      <c r="A887" s="1"/>
      <c r="B887" s="1"/>
    </row>
    <row r="888" spans="1:2" ht="15.75" customHeight="1">
      <c r="A888" s="1"/>
      <c r="B888" s="1"/>
    </row>
    <row r="889" spans="1:2" ht="15.75" customHeight="1">
      <c r="A889" s="1"/>
      <c r="B889" s="1"/>
    </row>
    <row r="890" spans="1:2" ht="15.75" customHeight="1">
      <c r="A890" s="1"/>
      <c r="B890" s="1"/>
    </row>
    <row r="891" spans="1:2" ht="15.75" customHeight="1">
      <c r="A891" s="1"/>
      <c r="B891" s="1"/>
    </row>
    <row r="892" spans="1:2" ht="15.75" customHeight="1">
      <c r="A892" s="1"/>
      <c r="B892" s="1"/>
    </row>
    <row r="893" spans="1:2" ht="15.75" customHeight="1">
      <c r="A893" s="1"/>
      <c r="B893" s="1"/>
    </row>
    <row r="894" spans="1:2" ht="15.75" customHeight="1">
      <c r="A894" s="1"/>
      <c r="B894" s="1"/>
    </row>
    <row r="895" spans="1:2" ht="15.75" customHeight="1">
      <c r="A895" s="1"/>
      <c r="B895" s="1"/>
    </row>
    <row r="896" spans="1:2" ht="15.75" customHeight="1">
      <c r="A896" s="1"/>
      <c r="B896" s="1"/>
    </row>
    <row r="897" spans="1:2" ht="15.75" customHeight="1">
      <c r="A897" s="1"/>
      <c r="B897" s="1"/>
    </row>
    <row r="898" spans="1:2" ht="15.75" customHeight="1">
      <c r="A898" s="1"/>
      <c r="B898" s="1"/>
    </row>
    <row r="899" spans="1:2" ht="15.75" customHeight="1">
      <c r="A899" s="1"/>
      <c r="B899" s="1"/>
    </row>
    <row r="900" spans="1:2" ht="15.75" customHeight="1">
      <c r="A900" s="1"/>
      <c r="B900" s="1"/>
    </row>
    <row r="901" spans="1:2" ht="15.75" customHeight="1">
      <c r="A901" s="1"/>
      <c r="B901" s="1"/>
    </row>
    <row r="902" spans="1:2" ht="15.75" customHeight="1">
      <c r="A902" s="1"/>
      <c r="B902" s="1"/>
    </row>
    <row r="903" spans="1:2" ht="15.75" customHeight="1">
      <c r="A903" s="1"/>
      <c r="B903" s="1"/>
    </row>
    <row r="904" spans="1:2" ht="15.75" customHeight="1">
      <c r="A904" s="1"/>
      <c r="B904" s="1"/>
    </row>
    <row r="905" spans="1:2" ht="15.75" customHeight="1">
      <c r="A905" s="1"/>
      <c r="B905" s="1"/>
    </row>
    <row r="906" spans="1:2" ht="15.75" customHeight="1">
      <c r="A906" s="1"/>
      <c r="B906" s="1"/>
    </row>
    <row r="907" spans="1:2" ht="15.75" customHeight="1">
      <c r="A907" s="1"/>
      <c r="B907" s="1"/>
    </row>
    <row r="908" spans="1:2" ht="15.75" customHeight="1">
      <c r="A908" s="1"/>
      <c r="B908" s="1"/>
    </row>
    <row r="909" spans="1:2" ht="15.75" customHeight="1">
      <c r="A909" s="1"/>
      <c r="B909" s="1"/>
    </row>
    <row r="910" spans="1:2" ht="15.75" customHeight="1">
      <c r="A910" s="1"/>
      <c r="B910" s="1"/>
    </row>
    <row r="911" spans="1:2" ht="15.75" customHeight="1">
      <c r="A911" s="1"/>
      <c r="B911" s="1"/>
    </row>
    <row r="912" spans="1:2" ht="15.75" customHeight="1">
      <c r="A912" s="1"/>
      <c r="B912" s="1"/>
    </row>
    <row r="913" spans="1:2" ht="15.75" customHeight="1">
      <c r="A913" s="1"/>
      <c r="B913" s="1"/>
    </row>
    <row r="914" spans="1:2" ht="15.75" customHeight="1">
      <c r="A914" s="1"/>
      <c r="B914" s="1"/>
    </row>
    <row r="915" spans="1:2" ht="15.75" customHeight="1">
      <c r="A915" s="1"/>
      <c r="B915" s="1"/>
    </row>
    <row r="916" spans="1:2" ht="15.75" customHeight="1">
      <c r="A916" s="1"/>
      <c r="B916" s="1"/>
    </row>
    <row r="917" spans="1:2" ht="15.75" customHeight="1">
      <c r="A917" s="1"/>
      <c r="B917" s="1"/>
    </row>
    <row r="918" spans="1:2" ht="15.75" customHeight="1">
      <c r="A918" s="1"/>
      <c r="B918" s="1"/>
    </row>
    <row r="919" spans="1:2" ht="15.75" customHeight="1">
      <c r="A919" s="1"/>
      <c r="B919" s="1"/>
    </row>
    <row r="920" spans="1:2" ht="15.75" customHeight="1">
      <c r="A920" s="1"/>
      <c r="B920" s="1"/>
    </row>
    <row r="921" spans="1:2" ht="15.75" customHeight="1">
      <c r="A921" s="1"/>
      <c r="B921" s="1"/>
    </row>
    <row r="922" spans="1:2" ht="15.75" customHeight="1">
      <c r="A922" s="1"/>
      <c r="B922" s="1"/>
    </row>
    <row r="923" spans="1:2" ht="15.75" customHeight="1">
      <c r="A923" s="1"/>
      <c r="B923" s="1"/>
    </row>
    <row r="924" spans="1:2" ht="15.75" customHeight="1">
      <c r="A924" s="1"/>
      <c r="B924" s="1"/>
    </row>
    <row r="925" spans="1:2" ht="15.75" customHeight="1">
      <c r="A925" s="1"/>
      <c r="B925" s="1"/>
    </row>
    <row r="926" spans="1:2" ht="15.75" customHeight="1">
      <c r="A926" s="1"/>
      <c r="B926" s="1"/>
    </row>
    <row r="927" spans="1:2" ht="15.75" customHeight="1">
      <c r="A927" s="1"/>
      <c r="B927" s="1"/>
    </row>
    <row r="928" spans="1:2" ht="15.75" customHeight="1">
      <c r="A928" s="1"/>
      <c r="B928" s="1"/>
    </row>
    <row r="929" spans="1:2" ht="15.75" customHeight="1">
      <c r="A929" s="1"/>
      <c r="B929" s="1"/>
    </row>
    <row r="930" spans="1:2" ht="15.75" customHeight="1">
      <c r="A930" s="1"/>
      <c r="B930" s="1"/>
    </row>
    <row r="931" spans="1:2" ht="15.75" customHeight="1">
      <c r="A931" s="1"/>
      <c r="B931" s="1"/>
    </row>
    <row r="932" spans="1:2" ht="15.75" customHeight="1">
      <c r="A932" s="1"/>
      <c r="B932" s="1"/>
    </row>
    <row r="933" spans="1:2" ht="15.75" customHeight="1">
      <c r="A933" s="1"/>
      <c r="B933" s="1"/>
    </row>
    <row r="934" spans="1:2" ht="15.75" customHeight="1">
      <c r="A934" s="1"/>
      <c r="B934" s="1"/>
    </row>
    <row r="935" spans="1:2" ht="15.75" customHeight="1">
      <c r="A935" s="1"/>
      <c r="B935" s="1"/>
    </row>
    <row r="936" spans="1:2" ht="15.75" customHeight="1">
      <c r="A936" s="1"/>
      <c r="B936" s="1"/>
    </row>
    <row r="937" spans="1:2" ht="15.75" customHeight="1">
      <c r="A937" s="1"/>
      <c r="B937" s="1"/>
    </row>
    <row r="938" spans="1:2" ht="15.75" customHeight="1">
      <c r="A938" s="1"/>
      <c r="B938" s="1"/>
    </row>
    <row r="939" spans="1:2" ht="15.75" customHeight="1">
      <c r="A939" s="1"/>
      <c r="B939" s="1"/>
    </row>
    <row r="940" spans="1:2" ht="15.75" customHeight="1">
      <c r="A940" s="1"/>
      <c r="B940" s="1"/>
    </row>
    <row r="941" spans="1:2" ht="15.75" customHeight="1">
      <c r="A941" s="1"/>
      <c r="B941" s="1"/>
    </row>
    <row r="942" spans="1:2" ht="15.75" customHeight="1">
      <c r="A942" s="1"/>
      <c r="B942" s="1"/>
    </row>
    <row r="943" spans="1:2" ht="15.75" customHeight="1">
      <c r="A943" s="1"/>
      <c r="B943" s="1"/>
    </row>
    <row r="944" spans="1:2" ht="15.75" customHeight="1">
      <c r="A944" s="1"/>
      <c r="B944" s="1"/>
    </row>
    <row r="945" spans="1:2" ht="15.75" customHeight="1">
      <c r="A945" s="1"/>
      <c r="B945" s="1"/>
    </row>
    <row r="946" spans="1:2" ht="15.75" customHeight="1">
      <c r="A946" s="1"/>
      <c r="B946" s="1"/>
    </row>
    <row r="947" spans="1:2" ht="15.75" customHeight="1">
      <c r="A947" s="1"/>
      <c r="B947" s="1"/>
    </row>
    <row r="948" spans="1:2" ht="15.75" customHeight="1">
      <c r="A948" s="1"/>
      <c r="B948" s="1"/>
    </row>
    <row r="949" spans="1:2" ht="15.75" customHeight="1">
      <c r="A949" s="1"/>
      <c r="B949" s="1"/>
    </row>
    <row r="950" spans="1:2" ht="15.75" customHeight="1">
      <c r="A950" s="1"/>
      <c r="B950" s="1"/>
    </row>
    <row r="951" spans="1:2" ht="15.75" customHeight="1">
      <c r="A951" s="1"/>
      <c r="B951" s="1"/>
    </row>
    <row r="952" spans="1:2" ht="15.75" customHeight="1">
      <c r="A952" s="1"/>
      <c r="B952" s="1"/>
    </row>
    <row r="953" spans="1:2" ht="15.75" customHeight="1">
      <c r="A953" s="1"/>
      <c r="B953" s="1"/>
    </row>
    <row r="954" spans="1:2" ht="15.75" customHeight="1">
      <c r="A954" s="1"/>
      <c r="B954" s="1"/>
    </row>
    <row r="955" spans="1:2" ht="15.75" customHeight="1">
      <c r="A955" s="1"/>
      <c r="B955" s="1"/>
    </row>
    <row r="956" spans="1:2" ht="15.75" customHeight="1">
      <c r="A956" s="1"/>
      <c r="B956" s="1"/>
    </row>
    <row r="957" spans="1:2" ht="15.75" customHeight="1">
      <c r="A957" s="1"/>
      <c r="B957" s="1"/>
    </row>
    <row r="958" spans="1:2" ht="15.75" customHeight="1">
      <c r="A958" s="1"/>
      <c r="B958" s="1"/>
    </row>
    <row r="959" spans="1:2" ht="15.75" customHeight="1">
      <c r="A959" s="1"/>
      <c r="B959" s="1"/>
    </row>
    <row r="960" spans="1:2" ht="15.75" customHeight="1">
      <c r="A960" s="1"/>
      <c r="B960" s="1"/>
    </row>
    <row r="961" spans="1:2" ht="15.75" customHeight="1">
      <c r="A961" s="1"/>
      <c r="B961" s="1"/>
    </row>
    <row r="962" spans="1:2" ht="15.75" customHeight="1">
      <c r="A962" s="1"/>
      <c r="B962" s="1"/>
    </row>
    <row r="963" spans="1:2" ht="15.75" customHeight="1">
      <c r="A963" s="1"/>
      <c r="B963" s="1"/>
    </row>
    <row r="964" spans="1:2" ht="15.75" customHeight="1">
      <c r="A964" s="1"/>
      <c r="B964" s="1"/>
    </row>
    <row r="965" spans="1:2" ht="15.75" customHeight="1">
      <c r="A965" s="1"/>
      <c r="B965" s="1"/>
    </row>
    <row r="966" spans="1:2" ht="15.75" customHeight="1">
      <c r="A966" s="1"/>
      <c r="B966" s="1"/>
    </row>
    <row r="967" spans="1:2" ht="15.75" customHeight="1">
      <c r="A967" s="1"/>
      <c r="B967" s="1"/>
    </row>
    <row r="968" spans="1:2" ht="15.75" customHeight="1">
      <c r="A968" s="1"/>
      <c r="B968" s="1"/>
    </row>
    <row r="969" spans="1:2" ht="15.75" customHeight="1">
      <c r="A969" s="1"/>
      <c r="B969" s="1"/>
    </row>
    <row r="970" spans="1:2" ht="15.75" customHeight="1">
      <c r="A970" s="1"/>
      <c r="B970" s="1"/>
    </row>
    <row r="971" spans="1:2" ht="15.75" customHeight="1">
      <c r="A971" s="1"/>
      <c r="B971" s="1"/>
    </row>
    <row r="972" spans="1:2" ht="15.75" customHeight="1">
      <c r="A972" s="1"/>
      <c r="B972" s="1"/>
    </row>
    <row r="973" spans="1:2" ht="15.75" customHeight="1">
      <c r="A973" s="1"/>
      <c r="B973" s="1"/>
    </row>
    <row r="974" spans="1:2" ht="15.75" customHeight="1">
      <c r="A974" s="1"/>
      <c r="B974" s="1"/>
    </row>
    <row r="975" spans="1:2" ht="15.75" customHeight="1">
      <c r="A975" s="1"/>
      <c r="B975" s="1"/>
    </row>
    <row r="976" spans="1:2" ht="15.75" customHeight="1">
      <c r="A976" s="1"/>
      <c r="B976" s="1"/>
    </row>
    <row r="977" spans="1:2" ht="15.75" customHeight="1">
      <c r="A977" s="1"/>
      <c r="B977" s="1"/>
    </row>
    <row r="978" spans="1:2" ht="15.75" customHeight="1">
      <c r="A978" s="1"/>
      <c r="B978" s="1"/>
    </row>
    <row r="979" spans="1:2" ht="15.75" customHeight="1">
      <c r="A979" s="1"/>
      <c r="B979" s="1"/>
    </row>
    <row r="980" spans="1:2" ht="15.75" customHeight="1">
      <c r="A980" s="1"/>
      <c r="B980" s="1"/>
    </row>
    <row r="981" spans="1:2" ht="15.75" customHeight="1">
      <c r="A981" s="1"/>
      <c r="B981" s="1"/>
    </row>
    <row r="982" spans="1:2" ht="15.75" customHeight="1">
      <c r="A982" s="1"/>
      <c r="B982" s="1"/>
    </row>
    <row r="983" spans="1:2" ht="15.75" customHeight="1">
      <c r="A983" s="1"/>
      <c r="B983" s="1"/>
    </row>
    <row r="984" spans="1:2" ht="15.75" customHeight="1">
      <c r="A984" s="1"/>
      <c r="B984" s="1"/>
    </row>
  </sheetData>
  <conditionalFormatting sqref="B1:B2">
    <cfRule type="containsText" dxfId="7" priority="1" operator="containsText" text="Bullish">
      <formula>NOT(ISERROR(SEARCH(("Bullish"),(B1))))</formula>
    </cfRule>
    <cfRule type="containsText" dxfId="6" priority="2" operator="containsText" text="Bearish">
      <formula>NOT(ISERROR(SEARCH(("Bearish"),(B1))))</formula>
    </cfRule>
  </conditionalFormatting>
  <conditionalFormatting sqref="B1:B716">
    <cfRule type="containsText" dxfId="5" priority="3" operator="containsText" text="Bullish">
      <formula>NOT(ISERROR(SEARCH(("Bullish"),(B1))))</formula>
    </cfRule>
    <cfRule type="containsText" dxfId="4" priority="4" operator="containsText" text="Bearish">
      <formula>NOT(ISERROR(SEARCH(("Bearish"),(B1))))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38"/>
  <sheetViews>
    <sheetView tabSelected="1"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2.6640625" defaultRowHeight="15.75" customHeight="1"/>
  <cols>
    <col min="3" max="3" width="12.5" customWidth="1"/>
    <col min="6" max="6" width="22.1640625" customWidth="1"/>
    <col min="7" max="7" width="22.5" customWidth="1"/>
    <col min="12" max="12" width="18" customWidth="1"/>
  </cols>
  <sheetData>
    <row r="1" spans="1:13" ht="16">
      <c r="A1" s="1" t="s">
        <v>0</v>
      </c>
      <c r="B1" s="2">
        <v>45688</v>
      </c>
      <c r="C1" s="1"/>
      <c r="D1" s="2"/>
    </row>
    <row r="2" spans="1:13" ht="16">
      <c r="A2" s="1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5"/>
      <c r="M2" s="6"/>
    </row>
    <row r="3" spans="1:13" ht="13">
      <c r="A3" s="1"/>
    </row>
    <row r="4" spans="1:13" ht="13">
      <c r="A4" s="1" t="s">
        <v>887</v>
      </c>
    </row>
    <row r="5" spans="1:13" ht="16">
      <c r="A5" s="1" t="s">
        <v>597</v>
      </c>
      <c r="B5" s="7" t="s">
        <v>14</v>
      </c>
      <c r="C5" s="8">
        <v>91.3</v>
      </c>
      <c r="D5" s="8" t="s">
        <v>15</v>
      </c>
      <c r="E5" s="8">
        <v>73.680000000000007</v>
      </c>
      <c r="F5" s="8">
        <f ca="1">IFERROR(__xludf.DUMMYFUNCTION("INDEX(GOOGLEFINANCE(A5, ""open"", DATE(2025,2,3), DATE(2025,2,3)), 2, 2)"),80.13)</f>
        <v>80.13</v>
      </c>
      <c r="G5" s="8">
        <f ca="1">IFERROR(__xludf.DUMMYFUNCTION("INDEX(GOOGLEFINANCE(A5, ""close"", DATE(2025,2,7), DATE(2025,2,7)), 2, 2)"),110.85)</f>
        <v>110.85</v>
      </c>
      <c r="H5" s="9">
        <f t="shared" ref="H5:H26" ca="1" si="0">IF(B5="Bullish",((G5-F5)/F5*100),((F5-G5)/F5*100))</f>
        <v>38.337701235492325</v>
      </c>
      <c r="I5" s="10">
        <f t="shared" ref="I5:I26" ca="1" si="1">1000*H5/100</f>
        <v>383.37701235492329</v>
      </c>
      <c r="J5" s="10" t="str">
        <f t="shared" ref="J5:J26" si="2">IF(B5="Bullish","Put Spread","Call Spread")</f>
        <v>Put Spread</v>
      </c>
      <c r="K5" s="10" t="str">
        <f t="shared" ref="K5:K26" ca="1" si="3">IF(B5="Bullish",IF(G5-E5&gt;0,"Success","No"),IF(B5="Bearish",IF(E5-G5&gt;0,"Success","No")))</f>
        <v>Success</v>
      </c>
      <c r="L5" s="5" t="s">
        <v>12</v>
      </c>
      <c r="M5" s="6">
        <v>22</v>
      </c>
    </row>
    <row r="6" spans="1:13" ht="16">
      <c r="A6" s="1" t="s">
        <v>344</v>
      </c>
      <c r="B6" s="7" t="s">
        <v>14</v>
      </c>
      <c r="C6" s="8">
        <v>214.86</v>
      </c>
      <c r="D6" s="8" t="s">
        <v>15</v>
      </c>
      <c r="E6" s="8">
        <v>196.34</v>
      </c>
      <c r="F6" s="8">
        <f ca="1">IFERROR(__xludf.DUMMYFUNCTION("INDEX(GOOGLEFINANCE(A6, ""open"", DATE(2025,2,3), DATE(2025,2,3)), 2, 2)"),202.22)</f>
        <v>202.22</v>
      </c>
      <c r="G6" s="8">
        <f ca="1">IFERROR(__xludf.DUMMYFUNCTION("INDEX(GOOGLEFINANCE(A6, ""close"", DATE(2025,2,7), DATE(2025,2,7)), 2, 2)"),187.14)</f>
        <v>187.14</v>
      </c>
      <c r="H6" s="9">
        <f t="shared" ca="1" si="0"/>
        <v>-7.457224804668189</v>
      </c>
      <c r="I6" s="10">
        <f t="shared" ca="1" si="1"/>
        <v>-74.572248046681892</v>
      </c>
      <c r="J6" s="10" t="str">
        <f t="shared" si="2"/>
        <v>Put Spread</v>
      </c>
      <c r="K6" s="10" t="str">
        <f t="shared" ca="1" si="3"/>
        <v>No</v>
      </c>
      <c r="L6" s="11" t="s">
        <v>16</v>
      </c>
      <c r="M6" s="12"/>
    </row>
    <row r="7" spans="1:13" ht="16">
      <c r="A7" s="1" t="s">
        <v>588</v>
      </c>
      <c r="B7" s="7" t="s">
        <v>38</v>
      </c>
      <c r="C7" s="8">
        <v>145.94999999999999</v>
      </c>
      <c r="D7" s="8" t="s">
        <v>39</v>
      </c>
      <c r="E7" s="8">
        <v>155.43</v>
      </c>
      <c r="F7" s="8">
        <f ca="1">IFERROR(__xludf.DUMMYFUNCTION("INDEX(GOOGLEFINANCE(A7, ""open"", DATE(2025,2,3), DATE(2025,2,3)), 2, 2)"),149.76)</f>
        <v>149.76</v>
      </c>
      <c r="G7" s="8">
        <f ca="1">IFERROR(__xludf.DUMMYFUNCTION("INDEX(GOOGLEFINANCE(A7, ""close"", DATE(2025,2,7), DATE(2025,2,7)), 2, 2)"),144.58)</f>
        <v>144.58000000000001</v>
      </c>
      <c r="H7" s="9">
        <f t="shared" ca="1" si="0"/>
        <v>3.4588675213675071</v>
      </c>
      <c r="I7" s="10">
        <f t="shared" ca="1" si="1"/>
        <v>34.588675213675067</v>
      </c>
      <c r="J7" s="10" t="str">
        <f t="shared" si="2"/>
        <v>Call Spread</v>
      </c>
      <c r="K7" s="10" t="str">
        <f t="shared" ca="1" si="3"/>
        <v>Success</v>
      </c>
      <c r="L7" s="6" t="s">
        <v>18</v>
      </c>
      <c r="M7" s="13">
        <f ca="1">COUNTIF(I5:I26,"&gt;0")/M5*100</f>
        <v>63.636363636363633</v>
      </c>
    </row>
    <row r="8" spans="1:13" ht="16">
      <c r="A8" s="1" t="s">
        <v>64</v>
      </c>
      <c r="B8" s="7" t="s">
        <v>38</v>
      </c>
      <c r="C8" s="8">
        <v>107.44</v>
      </c>
      <c r="D8" s="8" t="s">
        <v>39</v>
      </c>
      <c r="E8" s="8">
        <v>124.46</v>
      </c>
      <c r="F8" s="8">
        <f ca="1">IFERROR(__xludf.DUMMYFUNCTION("INDEX(GOOGLEFINANCE(A8, ""open"", DATE(2025,2,3), DATE(2025,2,3)), 2, 2)"),113.88)</f>
        <v>113.88</v>
      </c>
      <c r="G8" s="8">
        <f ca="1">IFERROR(__xludf.DUMMYFUNCTION("INDEX(GOOGLEFINANCE(A8, ""close"", DATE(2025,2,7), DATE(2025,2,7)), 2, 2)"),107.56)</f>
        <v>107.56</v>
      </c>
      <c r="H8" s="9">
        <f t="shared" ca="1" si="0"/>
        <v>5.5497014401123934</v>
      </c>
      <c r="I8" s="10">
        <f t="shared" ca="1" si="1"/>
        <v>55.497014401123934</v>
      </c>
      <c r="J8" s="10" t="str">
        <f t="shared" si="2"/>
        <v>Call Spread</v>
      </c>
      <c r="K8" s="10" t="str">
        <f t="shared" ca="1" si="3"/>
        <v>Success</v>
      </c>
      <c r="L8" s="6" t="s">
        <v>20</v>
      </c>
      <c r="M8" s="14">
        <f>M5*1000</f>
        <v>22000</v>
      </c>
    </row>
    <row r="9" spans="1:13" ht="16">
      <c r="A9" s="1" t="s">
        <v>589</v>
      </c>
      <c r="B9" s="7" t="s">
        <v>38</v>
      </c>
      <c r="C9" s="8">
        <v>25.57</v>
      </c>
      <c r="D9" s="8" t="s">
        <v>39</v>
      </c>
      <c r="E9" s="8">
        <v>27.47</v>
      </c>
      <c r="F9" s="8">
        <f ca="1">IFERROR(__xludf.DUMMYFUNCTION("INDEX(GOOGLEFINANCE(A9, ""open"", DATE(2025,2,3), DATE(2025,2,3)), 2, 2)"),26.3)</f>
        <v>26.3</v>
      </c>
      <c r="G9" s="8">
        <f ca="1">IFERROR(__xludf.DUMMYFUNCTION("INDEX(GOOGLEFINANCE(A9, ""close"", DATE(2025,2,7), DATE(2025,2,7)), 2, 2)"),25.74)</f>
        <v>25.74</v>
      </c>
      <c r="H9" s="9">
        <f t="shared" ca="1" si="0"/>
        <v>2.1292775665399324</v>
      </c>
      <c r="I9" s="10">
        <f t="shared" ca="1" si="1"/>
        <v>21.292775665399322</v>
      </c>
      <c r="J9" s="10" t="str">
        <f t="shared" si="2"/>
        <v>Call Spread</v>
      </c>
      <c r="K9" s="10" t="str">
        <f t="shared" ca="1" si="3"/>
        <v>Success</v>
      </c>
      <c r="L9" s="6" t="s">
        <v>9</v>
      </c>
      <c r="M9" s="15">
        <f ca="1">SUM(I5:I26)</f>
        <v>1190.7980183084819</v>
      </c>
    </row>
    <row r="10" spans="1:13" ht="16">
      <c r="A10" s="1" t="s">
        <v>695</v>
      </c>
      <c r="B10" s="8" t="s">
        <v>14</v>
      </c>
      <c r="C10" s="8">
        <v>589.85</v>
      </c>
      <c r="D10" s="8" t="s">
        <v>15</v>
      </c>
      <c r="E10" s="8">
        <v>507.25</v>
      </c>
      <c r="F10" s="8">
        <f ca="1">IFERROR(__xludf.DUMMYFUNCTION("INDEX(GOOGLEFINANCE(A10, ""open"", DATE(2025,2,3), DATE(2025,2,3)), 2, 2)"),538.92)</f>
        <v>538.91999999999996</v>
      </c>
      <c r="G10" s="8">
        <f ca="1">IFERROR(__xludf.DUMMYFUNCTION("INDEX(GOOGLEFINANCE(A10, ""close"", DATE(2025,2,7), DATE(2025,2,7)), 2, 2)"),622.99)</f>
        <v>622.99</v>
      </c>
      <c r="H10" s="9">
        <f t="shared" ca="1" si="0"/>
        <v>15.599717954427383</v>
      </c>
      <c r="I10" s="10">
        <f t="shared" ca="1" si="1"/>
        <v>155.99717954427385</v>
      </c>
      <c r="J10" s="10" t="str">
        <f t="shared" si="2"/>
        <v>Put Spread</v>
      </c>
      <c r="K10" s="10" t="str">
        <f t="shared" ca="1" si="3"/>
        <v>Success</v>
      </c>
      <c r="L10" s="6" t="s">
        <v>23</v>
      </c>
      <c r="M10" s="16">
        <f ca="1">M9/M8*100</f>
        <v>5.4127182650385537</v>
      </c>
    </row>
    <row r="11" spans="1:13" ht="16">
      <c r="A11" s="1" t="s">
        <v>611</v>
      </c>
      <c r="B11" s="8" t="s">
        <v>14</v>
      </c>
      <c r="C11" s="8">
        <v>93.79</v>
      </c>
      <c r="D11" s="8" t="s">
        <v>15</v>
      </c>
      <c r="E11" s="8">
        <v>83.37</v>
      </c>
      <c r="F11" s="8">
        <f ca="1">IFERROR(__xludf.DUMMYFUNCTION("INDEX(GOOGLEFINANCE(A11, ""open"", DATE(2025,2,3), DATE(2025,2,3)), 2, 2)"),86.5)</f>
        <v>86.5</v>
      </c>
      <c r="G11" s="8">
        <f ca="1">IFERROR(__xludf.DUMMYFUNCTION("INDEX(GOOGLEFINANCE(A11, ""close"", DATE(2025,2,7), DATE(2025,2,7)), 2, 2)"),77.31)</f>
        <v>77.31</v>
      </c>
      <c r="H11" s="9">
        <f t="shared" ca="1" si="0"/>
        <v>-10.624277456647397</v>
      </c>
      <c r="I11" s="10">
        <f t="shared" ca="1" si="1"/>
        <v>-106.24277456647397</v>
      </c>
      <c r="J11" s="10" t="str">
        <f t="shared" si="2"/>
        <v>Put Spread</v>
      </c>
      <c r="K11" s="10" t="str">
        <f t="shared" ca="1" si="3"/>
        <v>No</v>
      </c>
    </row>
    <row r="12" spans="1:13" ht="16">
      <c r="A12" s="1" t="s">
        <v>681</v>
      </c>
      <c r="B12" s="8" t="s">
        <v>14</v>
      </c>
      <c r="C12" s="8">
        <v>12.69</v>
      </c>
      <c r="D12" s="8" t="s">
        <v>15</v>
      </c>
      <c r="E12" s="8">
        <v>9.89</v>
      </c>
      <c r="F12" s="8">
        <f ca="1">IFERROR(__xludf.DUMMYFUNCTION("INDEX(GOOGLEFINANCE(A12, ""open"", DATE(2025,2,3), DATE(2025,2,3)), 2, 2)"),11)</f>
        <v>11</v>
      </c>
      <c r="G12" s="8">
        <f ca="1">IFERROR(__xludf.DUMMYFUNCTION("INDEX(GOOGLEFINANCE(A12, ""close"", DATE(2025,2,7), DATE(2025,2,7)), 2, 2)"),10.92)</f>
        <v>10.92</v>
      </c>
      <c r="H12" s="9">
        <f t="shared" ca="1" si="0"/>
        <v>-0.72727272727272785</v>
      </c>
      <c r="I12" s="10">
        <f t="shared" ca="1" si="1"/>
        <v>-7.2727272727272778</v>
      </c>
      <c r="J12" s="10" t="str">
        <f t="shared" si="2"/>
        <v>Put Spread</v>
      </c>
      <c r="K12" s="10" t="str">
        <f t="shared" ca="1" si="3"/>
        <v>Success</v>
      </c>
      <c r="L12" s="11" t="s">
        <v>26</v>
      </c>
    </row>
    <row r="13" spans="1:13" ht="18.75" customHeight="1">
      <c r="A13" s="1" t="s">
        <v>104</v>
      </c>
      <c r="B13" s="7" t="s">
        <v>14</v>
      </c>
      <c r="C13" s="8">
        <v>105.02</v>
      </c>
      <c r="D13" s="8" t="s">
        <v>15</v>
      </c>
      <c r="E13" s="8">
        <v>92.66</v>
      </c>
      <c r="F13" s="8">
        <f ca="1">IFERROR(__xludf.DUMMYFUNCTION("INDEX(GOOGLEFINANCE(A13, ""open"", DATE(2025,2,3), DATE(2025,2,3)), 2, 2)"),96.51)</f>
        <v>96.51</v>
      </c>
      <c r="G13" s="8">
        <f ca="1">IFERROR(__xludf.DUMMYFUNCTION("INDEX(GOOGLEFINANCE(A13, ""close"", DATE(2025,2,7), DATE(2025,2,7)), 2, 2)"),103.51)</f>
        <v>103.51</v>
      </c>
      <c r="H13" s="9">
        <f t="shared" ca="1" si="0"/>
        <v>7.25313439021863</v>
      </c>
      <c r="I13" s="10">
        <f t="shared" ca="1" si="1"/>
        <v>72.531343902186293</v>
      </c>
      <c r="J13" s="10" t="str">
        <f t="shared" si="2"/>
        <v>Put Spread</v>
      </c>
      <c r="K13" s="10" t="str">
        <f t="shared" ca="1" si="3"/>
        <v>Success</v>
      </c>
      <c r="L13" s="6" t="s">
        <v>18</v>
      </c>
      <c r="M13" s="17">
        <f ca="1">COUNTIF(K5:K26,"Success")/M5*100</f>
        <v>81.818181818181827</v>
      </c>
    </row>
    <row r="14" spans="1:13" ht="16">
      <c r="A14" s="1" t="s">
        <v>240</v>
      </c>
      <c r="B14" s="7" t="s">
        <v>14</v>
      </c>
      <c r="C14" s="8">
        <v>118.35</v>
      </c>
      <c r="D14" s="8" t="s">
        <v>15</v>
      </c>
      <c r="E14" s="8">
        <v>107.77</v>
      </c>
      <c r="F14" s="8">
        <f ca="1">IFERROR(__xludf.DUMMYFUNCTION("INDEX(GOOGLEFINANCE(A14, ""open"", DATE(2025,2,3), DATE(2025,2,3)), 2, 2)"),111.35)</f>
        <v>111.35</v>
      </c>
      <c r="G14" s="8">
        <f ca="1">IFERROR(__xludf.DUMMYFUNCTION("INDEX(GOOGLEFINANCE(A14, ""close"", DATE(2025,2,7), DATE(2025,2,7)), 2, 2)"),110.86)</f>
        <v>110.86</v>
      </c>
      <c r="H14" s="9">
        <f t="shared" ca="1" si="0"/>
        <v>-0.44005388414907493</v>
      </c>
      <c r="I14" s="10">
        <f t="shared" ca="1" si="1"/>
        <v>-4.4005388414907491</v>
      </c>
      <c r="J14" s="10" t="str">
        <f t="shared" si="2"/>
        <v>Put Spread</v>
      </c>
      <c r="K14" s="10" t="str">
        <f t="shared" ca="1" si="3"/>
        <v>Success</v>
      </c>
    </row>
    <row r="15" spans="1:13" ht="16">
      <c r="A15" s="1" t="s">
        <v>613</v>
      </c>
      <c r="B15" s="8" t="s">
        <v>14</v>
      </c>
      <c r="C15" s="8">
        <v>182.39</v>
      </c>
      <c r="D15" s="8" t="s">
        <v>15</v>
      </c>
      <c r="E15" s="8">
        <v>163.47</v>
      </c>
      <c r="F15" s="8">
        <f ca="1">IFERROR(__xludf.DUMMYFUNCTION("INDEX(GOOGLEFINANCE(A15, ""open"", DATE(2025,2,3), DATE(2025,2,3)), 2, 2)"),168.88)</f>
        <v>168.88</v>
      </c>
      <c r="G15" s="8">
        <f ca="1">IFERROR(__xludf.DUMMYFUNCTION("INDEX(GOOGLEFINANCE(A15, ""close"", DATE(2025,2,7), DATE(2025,2,7)), 2, 2)"),167.96)</f>
        <v>167.96</v>
      </c>
      <c r="H15" s="9">
        <f t="shared" ca="1" si="0"/>
        <v>-0.54476551397441231</v>
      </c>
      <c r="I15" s="10">
        <f t="shared" ca="1" si="1"/>
        <v>-5.4476551397441231</v>
      </c>
      <c r="J15" s="10" t="str">
        <f t="shared" si="2"/>
        <v>Put Spread</v>
      </c>
      <c r="K15" s="10" t="str">
        <f t="shared" ca="1" si="3"/>
        <v>Success</v>
      </c>
    </row>
    <row r="16" spans="1:13" ht="16">
      <c r="A16" s="1" t="s">
        <v>87</v>
      </c>
      <c r="B16" s="7" t="s">
        <v>14</v>
      </c>
      <c r="C16" s="8">
        <v>174.03</v>
      </c>
      <c r="D16" s="8" t="s">
        <v>15</v>
      </c>
      <c r="E16" s="8">
        <v>145.07</v>
      </c>
      <c r="F16" s="8">
        <f ca="1">IFERROR(__xludf.DUMMYFUNCTION("INDEX(GOOGLEFINANCE(A16, ""open"", DATE(2025,2,3), DATE(2025,2,3)), 2, 2)"),153.55)</f>
        <v>153.55000000000001</v>
      </c>
      <c r="G16" s="8">
        <f ca="1">IFERROR(__xludf.DUMMYFUNCTION("INDEX(GOOGLEFINANCE(A16, ""close"", DATE(2025,2,7), DATE(2025,2,7)), 2, 2)"),162.51)</f>
        <v>162.51</v>
      </c>
      <c r="H16" s="9">
        <f t="shared" ca="1" si="0"/>
        <v>5.8352328231846169</v>
      </c>
      <c r="I16" s="10">
        <f t="shared" ca="1" si="1"/>
        <v>58.352328231846165</v>
      </c>
      <c r="J16" s="10" t="str">
        <f t="shared" si="2"/>
        <v>Put Spread</v>
      </c>
      <c r="K16" s="10" t="str">
        <f t="shared" ca="1" si="3"/>
        <v>Success</v>
      </c>
    </row>
    <row r="17" spans="1:13" ht="16">
      <c r="A17" s="1" t="s">
        <v>765</v>
      </c>
      <c r="B17" s="7" t="s">
        <v>14</v>
      </c>
      <c r="C17" s="8">
        <v>71.31</v>
      </c>
      <c r="D17" s="8" t="s">
        <v>15</v>
      </c>
      <c r="E17" s="8">
        <v>62.39</v>
      </c>
      <c r="F17" s="8">
        <f ca="1">IFERROR(__xludf.DUMMYFUNCTION("INDEX(GOOGLEFINANCE(A17, ""open"", DATE(2025,2,3), DATE(2025,2,3)), 2, 2)"),65.3)</f>
        <v>65.3</v>
      </c>
      <c r="G17" s="8">
        <f ca="1">IFERROR(__xludf.DUMMYFUNCTION("INDEX(GOOGLEFINANCE(A17, ""close"", DATE(2025,2,7), DATE(2025,2,7)), 2, 2)"),74.6)</f>
        <v>74.599999999999994</v>
      </c>
      <c r="H17" s="9">
        <f t="shared" ca="1" si="0"/>
        <v>14.241960183767224</v>
      </c>
      <c r="I17" s="10">
        <f t="shared" ca="1" si="1"/>
        <v>142.41960183767225</v>
      </c>
      <c r="J17" s="10" t="str">
        <f t="shared" si="2"/>
        <v>Put Spread</v>
      </c>
      <c r="K17" s="10" t="str">
        <f t="shared" ca="1" si="3"/>
        <v>Success</v>
      </c>
    </row>
    <row r="18" spans="1:13" ht="16">
      <c r="A18" s="1" t="s">
        <v>522</v>
      </c>
      <c r="B18" s="7" t="s">
        <v>14</v>
      </c>
      <c r="C18" s="8">
        <v>377.65</v>
      </c>
      <c r="D18" s="8" t="s">
        <v>15</v>
      </c>
      <c r="E18" s="8">
        <v>291.93</v>
      </c>
      <c r="F18" s="8">
        <f ca="1">IFERROR(__xludf.DUMMYFUNCTION("INDEX(GOOGLEFINANCE(A18, ""open"", DATE(2025,2,3), DATE(2025,2,3)), 2, 2)"),310)</f>
        <v>310</v>
      </c>
      <c r="G18" s="8">
        <f ca="1">IFERROR(__xludf.DUMMYFUNCTION("INDEX(GOOGLEFINANCE(A18, ""close"", DATE(2025,2,7), DATE(2025,2,7)), 2, 2)"),327.56)</f>
        <v>327.56</v>
      </c>
      <c r="H18" s="9">
        <f t="shared" ca="1" si="0"/>
        <v>5.6645161290322585</v>
      </c>
      <c r="I18" s="10">
        <f t="shared" ca="1" si="1"/>
        <v>56.645161290322584</v>
      </c>
      <c r="J18" s="10" t="str">
        <f t="shared" si="2"/>
        <v>Put Spread</v>
      </c>
      <c r="K18" s="10" t="str">
        <f t="shared" ca="1" si="3"/>
        <v>Success</v>
      </c>
    </row>
    <row r="19" spans="1:13" ht="16">
      <c r="A19" s="1" t="s">
        <v>344</v>
      </c>
      <c r="B19" s="7" t="s">
        <v>14</v>
      </c>
      <c r="C19" s="8">
        <v>214.86</v>
      </c>
      <c r="D19" s="8" t="s">
        <v>15</v>
      </c>
      <c r="E19" s="8">
        <v>196.34</v>
      </c>
      <c r="F19" s="8">
        <f ca="1">IFERROR(__xludf.DUMMYFUNCTION("INDEX(GOOGLEFINANCE(A19, ""open"", DATE(2025,2,3), DATE(2025,2,3)), 2, 2)"),202.22)</f>
        <v>202.22</v>
      </c>
      <c r="G19" s="8">
        <f ca="1">IFERROR(__xludf.DUMMYFUNCTION("INDEX(GOOGLEFINANCE(A19, ""close"", DATE(2025,2,7), DATE(2025,2,7)), 2, 2)"),187.14)</f>
        <v>187.14</v>
      </c>
      <c r="H19" s="9">
        <f t="shared" ca="1" si="0"/>
        <v>-7.457224804668189</v>
      </c>
      <c r="I19" s="10">
        <f t="shared" ca="1" si="1"/>
        <v>-74.572248046681892</v>
      </c>
      <c r="J19" s="10" t="str">
        <f t="shared" si="2"/>
        <v>Put Spread</v>
      </c>
      <c r="K19" s="10" t="str">
        <f t="shared" ca="1" si="3"/>
        <v>No</v>
      </c>
    </row>
    <row r="20" spans="1:13" ht="16">
      <c r="A20" s="1" t="s">
        <v>599</v>
      </c>
      <c r="B20" s="7" t="s">
        <v>14</v>
      </c>
      <c r="C20" s="8">
        <v>134.56</v>
      </c>
      <c r="D20" s="8" t="s">
        <v>15</v>
      </c>
      <c r="E20" s="8">
        <v>125.84</v>
      </c>
      <c r="F20" s="8">
        <f ca="1">IFERROR(__xludf.DUMMYFUNCTION("INDEX(GOOGLEFINANCE(A20, ""open"", DATE(2025,2,3), DATE(2025,2,3)), 2, 2)"),128.91)</f>
        <v>128.91</v>
      </c>
      <c r="G20" s="8">
        <f ca="1">IFERROR(__xludf.DUMMYFUNCTION("INDEX(GOOGLEFINANCE(A20, ""close"", DATE(2025,2,7), DATE(2025,2,7)), 2, 2)"),144.41)</f>
        <v>144.41</v>
      </c>
      <c r="H20" s="9">
        <f t="shared" ca="1" si="0"/>
        <v>12.023892638274766</v>
      </c>
      <c r="I20" s="10">
        <f t="shared" ca="1" si="1"/>
        <v>120.23892638274766</v>
      </c>
      <c r="J20" s="10" t="str">
        <f t="shared" si="2"/>
        <v>Put Spread</v>
      </c>
      <c r="K20" s="10" t="str">
        <f t="shared" ca="1" si="3"/>
        <v>Success</v>
      </c>
    </row>
    <row r="21" spans="1:13" ht="16">
      <c r="A21" s="1" t="s">
        <v>463</v>
      </c>
      <c r="B21" s="7" t="s">
        <v>14</v>
      </c>
      <c r="C21" s="8">
        <v>847.79</v>
      </c>
      <c r="D21" s="8" t="s">
        <v>15</v>
      </c>
      <c r="E21" s="8">
        <v>774.37</v>
      </c>
      <c r="F21" s="8">
        <f ca="1">IFERROR(__xludf.DUMMYFUNCTION("INDEX(GOOGLEFINANCE(A21, ""open"", DATE(2025,2,3), DATE(2025,2,3)), 2, 2)"),804.27)</f>
        <v>804.27</v>
      </c>
      <c r="G21" s="8">
        <f ca="1">IFERROR(__xludf.DUMMYFUNCTION("INDEX(GOOGLEFINANCE(A21, ""close"", DATE(2025,2,7), DATE(2025,2,7)), 2, 2)"),878.31)</f>
        <v>878.31</v>
      </c>
      <c r="H21" s="9">
        <f t="shared" ca="1" si="0"/>
        <v>9.2058637024879673</v>
      </c>
      <c r="I21" s="10">
        <f t="shared" ca="1" si="1"/>
        <v>92.058637024879687</v>
      </c>
      <c r="J21" s="10" t="str">
        <f t="shared" si="2"/>
        <v>Put Spread</v>
      </c>
      <c r="K21" s="10" t="str">
        <f t="shared" ca="1" si="3"/>
        <v>Success</v>
      </c>
    </row>
    <row r="22" spans="1:13" ht="16">
      <c r="A22" s="1" t="s">
        <v>515</v>
      </c>
      <c r="B22" s="7" t="s">
        <v>38</v>
      </c>
      <c r="C22" s="8">
        <v>94.78</v>
      </c>
      <c r="D22" s="8" t="s">
        <v>39</v>
      </c>
      <c r="E22" s="8">
        <v>102.86</v>
      </c>
      <c r="F22" s="8">
        <f ca="1">IFERROR(__xludf.DUMMYFUNCTION("INDEX(GOOGLEFINANCE(A22, ""open"", DATE(2025,2,3), DATE(2025,2,3)), 2, 2)"),98.13)</f>
        <v>98.13</v>
      </c>
      <c r="G22" s="8">
        <f ca="1">IFERROR(__xludf.DUMMYFUNCTION("INDEX(GOOGLEFINANCE(A22, ""close"", DATE(2025,2,7), DATE(2025,2,7)), 2, 2)"),87.28)</f>
        <v>87.28</v>
      </c>
      <c r="H22" s="9">
        <f t="shared" ca="1" si="0"/>
        <v>11.056761438907566</v>
      </c>
      <c r="I22" s="10">
        <f t="shared" ca="1" si="1"/>
        <v>110.56761438907566</v>
      </c>
      <c r="J22" s="10" t="str">
        <f t="shared" si="2"/>
        <v>Call Spread</v>
      </c>
      <c r="K22" s="10" t="str">
        <f t="shared" ca="1" si="3"/>
        <v>Success</v>
      </c>
    </row>
    <row r="23" spans="1:13" ht="16">
      <c r="A23" s="1" t="s">
        <v>533</v>
      </c>
      <c r="B23" s="7" t="s">
        <v>14</v>
      </c>
      <c r="C23" s="8">
        <v>150.13999999999999</v>
      </c>
      <c r="D23" s="8" t="s">
        <v>15</v>
      </c>
      <c r="E23" s="8">
        <v>126.66</v>
      </c>
      <c r="F23" s="8">
        <f ca="1">IFERROR(__xludf.DUMMYFUNCTION("INDEX(GOOGLEFINANCE(A23, ""open"", DATE(2025,2,3), DATE(2025,2,3)), 2, 2)"),133)</f>
        <v>133</v>
      </c>
      <c r="G23" s="8">
        <f ca="1">IFERROR(__xludf.DUMMYFUNCTION("INDEX(GOOGLEFINANCE(A23, ""close"", DATE(2025,2,7), DATE(2025,2,7)), 2, 2)"),166.66)</f>
        <v>166.66</v>
      </c>
      <c r="H23" s="9">
        <f t="shared" ca="1" si="0"/>
        <v>25.308270676691723</v>
      </c>
      <c r="I23" s="10">
        <f t="shared" ca="1" si="1"/>
        <v>253.08270676691723</v>
      </c>
      <c r="J23" s="10" t="str">
        <f t="shared" si="2"/>
        <v>Put Spread</v>
      </c>
      <c r="K23" s="10" t="str">
        <f t="shared" ca="1" si="3"/>
        <v>Success</v>
      </c>
    </row>
    <row r="24" spans="1:13" ht="16">
      <c r="A24" s="1" t="s">
        <v>70</v>
      </c>
      <c r="B24" s="7" t="s">
        <v>14</v>
      </c>
      <c r="C24" s="8">
        <v>249.4</v>
      </c>
      <c r="D24" s="8" t="s">
        <v>15</v>
      </c>
      <c r="E24" s="8">
        <v>225.96</v>
      </c>
      <c r="F24" s="8">
        <f ca="1">IFERROR(__xludf.DUMMYFUNCTION("INDEX(GOOGLEFINANCE(A24, ""open"", DATE(2025,2,3), DATE(2025,2,3)), 2, 2)"),234.06)</f>
        <v>234.06</v>
      </c>
      <c r="G24" s="8">
        <f ca="1">IFERROR(__xludf.DUMMYFUNCTION("INDEX(GOOGLEFINANCE(A24, ""close"", DATE(2025,2,7), DATE(2025,2,7)), 2, 2)"),229.15)</f>
        <v>229.15</v>
      </c>
      <c r="H24" s="9">
        <f t="shared" ca="1" si="0"/>
        <v>-2.0977527129795766</v>
      </c>
      <c r="I24" s="10">
        <f t="shared" ca="1" si="1"/>
        <v>-20.977527129795767</v>
      </c>
      <c r="J24" s="10" t="str">
        <f t="shared" si="2"/>
        <v>Put Spread</v>
      </c>
      <c r="K24" s="10" t="str">
        <f t="shared" ca="1" si="3"/>
        <v>Success</v>
      </c>
    </row>
    <row r="25" spans="1:13" ht="16">
      <c r="A25" s="1" t="s">
        <v>365</v>
      </c>
      <c r="B25" s="7" t="s">
        <v>14</v>
      </c>
      <c r="C25" s="8">
        <v>232.3</v>
      </c>
      <c r="D25" s="8" t="s">
        <v>15</v>
      </c>
      <c r="E25" s="8">
        <v>215.14</v>
      </c>
      <c r="F25" s="8">
        <f ca="1">IFERROR(__xludf.DUMMYFUNCTION("INDEX(GOOGLEFINANCE(A25, ""open"", DATE(2025,2,3), DATE(2025,2,3)), 2, 2)"),222.5)</f>
        <v>222.5</v>
      </c>
      <c r="G25" s="8">
        <f ca="1">IFERROR(__xludf.DUMMYFUNCTION("INDEX(GOOGLEFINANCE(A25, ""close"", DATE(2025,2,7), DATE(2025,2,7)), 2, 2)"),205.52)</f>
        <v>205.52</v>
      </c>
      <c r="H25" s="9">
        <f t="shared" ca="1" si="0"/>
        <v>-7.6314606741572995</v>
      </c>
      <c r="I25" s="10">
        <f t="shared" ca="1" si="1"/>
        <v>-76.314606741573002</v>
      </c>
      <c r="J25" s="10" t="str">
        <f t="shared" si="2"/>
        <v>Put Spread</v>
      </c>
      <c r="K25" s="10" t="str">
        <f t="shared" ca="1" si="3"/>
        <v>No</v>
      </c>
    </row>
    <row r="26" spans="1:13" ht="16">
      <c r="A26" s="1" t="s">
        <v>199</v>
      </c>
      <c r="B26" s="7" t="s">
        <v>38</v>
      </c>
      <c r="C26" s="8">
        <v>95.82</v>
      </c>
      <c r="D26" s="8" t="s">
        <v>39</v>
      </c>
      <c r="E26" s="8">
        <v>101.84</v>
      </c>
      <c r="F26" s="8">
        <f ca="1">IFERROR(__xludf.DUMMYFUNCTION("INDEX(GOOGLEFINANCE(A26, ""open"", DATE(2025,2,3), DATE(2025,2,3)), 2, 2)"),98.75)</f>
        <v>98.75</v>
      </c>
      <c r="G26" s="8">
        <f ca="1">IFERROR(__xludf.DUMMYFUNCTION("INDEX(GOOGLEFINANCE(A26, ""close"", DATE(2025,2,7), DATE(2025,2,7)), 2, 2)"),98.36)</f>
        <v>98.36</v>
      </c>
      <c r="H26" s="9">
        <f t="shared" ca="1" si="0"/>
        <v>0.3949367088607601</v>
      </c>
      <c r="I26" s="10">
        <f t="shared" ca="1" si="1"/>
        <v>3.9493670886076013</v>
      </c>
      <c r="J26" s="10" t="str">
        <f t="shared" si="2"/>
        <v>Call Spread</v>
      </c>
      <c r="K26" s="10" t="str">
        <f t="shared" ca="1" si="3"/>
        <v>Success</v>
      </c>
    </row>
    <row r="29" spans="1:13" ht="13">
      <c r="A29" s="1" t="s">
        <v>888</v>
      </c>
    </row>
    <row r="30" spans="1:13" ht="16">
      <c r="A30" s="1" t="s">
        <v>700</v>
      </c>
      <c r="B30" s="8" t="s">
        <v>38</v>
      </c>
      <c r="C30" s="8">
        <v>590.07000000000005</v>
      </c>
      <c r="D30" s="8" t="s">
        <v>39</v>
      </c>
      <c r="E30" s="8">
        <v>613.57000000000005</v>
      </c>
      <c r="F30" s="8">
        <f ca="1">IFERROR(__xludf.DUMMYFUNCTION("INDEX(GOOGLEFINANCE(A30, ""open"", DATE(2025,2,3), DATE(2025,2,3)), 2, 2)"),592.67)</f>
        <v>592.66999999999996</v>
      </c>
      <c r="G30" s="8">
        <f ca="1">IFERROR(__xludf.DUMMYFUNCTION("INDEX(GOOGLEFINANCE(A30, ""close"", DATE(2025,2,7), DATE(2025,2,7)), 2, 2)"),600.77)</f>
        <v>600.77</v>
      </c>
      <c r="H30" s="9">
        <f t="shared" ref="H30:H34" ca="1" si="4">IF(B30="Bullish",((G30-F30)/F30*100),((F30-G30)/F30*100))</f>
        <v>-1.3666964752729214</v>
      </c>
      <c r="I30" s="10">
        <f t="shared" ref="I30:I34" ca="1" si="5">1000*H30/100</f>
        <v>-13.666964752729214</v>
      </c>
      <c r="J30" s="10" t="str">
        <f t="shared" ref="J30:J34" si="6">IF(B30="Bullish","Put Spread","Call Spread")</f>
        <v>Call Spread</v>
      </c>
      <c r="K30" s="10" t="str">
        <f t="shared" ref="K30:K34" ca="1" si="7">IF(B30="Bullish",IF(G30-E30&gt;0,"Success","No"),IF(B30="Bearish",IF(E30-G30&gt;0,"Success","No")))</f>
        <v>Success</v>
      </c>
      <c r="L30" s="5" t="s">
        <v>12</v>
      </c>
      <c r="M30" s="6">
        <v>5</v>
      </c>
    </row>
    <row r="31" spans="1:13" ht="16">
      <c r="A31" s="1" t="s">
        <v>616</v>
      </c>
      <c r="B31" s="8" t="s">
        <v>38</v>
      </c>
      <c r="C31" s="8">
        <v>508.55</v>
      </c>
      <c r="D31" s="8" t="s">
        <v>39</v>
      </c>
      <c r="E31" s="8">
        <v>536.03</v>
      </c>
      <c r="F31" s="8">
        <f ca="1">IFERROR(__xludf.DUMMYFUNCTION("INDEX(GOOGLEFINANCE(A31, ""open"", DATE(2025,2,3), DATE(2025,2,3)), 2, 2)"),513.47)</f>
        <v>513.47</v>
      </c>
      <c r="G31" s="8">
        <f ca="1">IFERROR(__xludf.DUMMYFUNCTION("INDEX(GOOGLEFINANCE(A31, ""close"", DATE(2025,2,7), DATE(2025,2,7)), 2, 2)"),522.92)</f>
        <v>522.91999999999996</v>
      </c>
      <c r="H31" s="9">
        <f t="shared" ca="1" si="4"/>
        <v>-1.840419109198187</v>
      </c>
      <c r="I31" s="10">
        <f t="shared" ca="1" si="5"/>
        <v>-18.404191091981872</v>
      </c>
      <c r="J31" s="10" t="str">
        <f t="shared" si="6"/>
        <v>Call Spread</v>
      </c>
      <c r="K31" s="10" t="str">
        <f t="shared" ca="1" si="7"/>
        <v>Success</v>
      </c>
      <c r="L31" s="11" t="s">
        <v>16</v>
      </c>
      <c r="M31" s="12"/>
    </row>
    <row r="32" spans="1:13" ht="16">
      <c r="A32" s="1" t="s">
        <v>238</v>
      </c>
      <c r="B32" s="7" t="s">
        <v>14</v>
      </c>
      <c r="C32" s="8">
        <v>452.89</v>
      </c>
      <c r="D32" s="8" t="s">
        <v>15</v>
      </c>
      <c r="E32" s="8">
        <v>437.89</v>
      </c>
      <c r="F32" s="8">
        <f ca="1">IFERROR(__xludf.DUMMYFUNCTION("INDEX(GOOGLEFINANCE(A32, ""open"", DATE(2025,2,3), DATE(2025,2,3)), 2, 2)"),439.61)</f>
        <v>439.61</v>
      </c>
      <c r="G32" s="8">
        <f ca="1">IFERROR(__xludf.DUMMYFUNCTION("INDEX(GOOGLEFINANCE(A32, ""close"", DATE(2025,2,7), DATE(2025,2,7)), 2, 2)"),443.12)</f>
        <v>443.12</v>
      </c>
      <c r="H32" s="9">
        <f t="shared" ca="1" si="4"/>
        <v>0.79843497645640249</v>
      </c>
      <c r="I32" s="10">
        <f t="shared" ca="1" si="5"/>
        <v>7.9843497645640253</v>
      </c>
      <c r="J32" s="10" t="str">
        <f t="shared" si="6"/>
        <v>Put Spread</v>
      </c>
      <c r="K32" s="10" t="str">
        <f t="shared" ca="1" si="7"/>
        <v>Success</v>
      </c>
      <c r="L32" s="6" t="s">
        <v>18</v>
      </c>
      <c r="M32" s="13">
        <f ca="1">COUNTIF(I30:I51,"&gt;0")/M30*100</f>
        <v>40</v>
      </c>
    </row>
    <row r="33" spans="1:13" ht="16">
      <c r="A33" s="1" t="s">
        <v>338</v>
      </c>
      <c r="B33" s="7" t="s">
        <v>14</v>
      </c>
      <c r="C33" s="8">
        <v>263.61</v>
      </c>
      <c r="D33" s="8" t="s">
        <v>15</v>
      </c>
      <c r="E33" s="8">
        <v>253.51</v>
      </c>
      <c r="F33" s="8">
        <f ca="1">IFERROR(__xludf.DUMMYFUNCTION("INDEX(GOOGLEFINANCE(A33, ""open"", DATE(2025,2,3), DATE(2025,2,3)), 2, 2)"),259.75)</f>
        <v>259.75</v>
      </c>
      <c r="G33" s="8">
        <f ca="1">IFERROR(__xludf.DUMMYFUNCTION("INDEX(GOOGLEFINANCE(A33, ""close"", DATE(2025,2,7), DATE(2025,2,7)), 2, 2)"),263.9)</f>
        <v>263.89999999999998</v>
      </c>
      <c r="H33" s="9">
        <f t="shared" ca="1" si="4"/>
        <v>1.5976900866217429</v>
      </c>
      <c r="I33" s="10">
        <f t="shared" ca="1" si="5"/>
        <v>15.976900866217429</v>
      </c>
      <c r="J33" s="10" t="str">
        <f t="shared" si="6"/>
        <v>Put Spread</v>
      </c>
      <c r="K33" s="10" t="str">
        <f t="shared" ca="1" si="7"/>
        <v>Success</v>
      </c>
      <c r="L33" s="6" t="s">
        <v>20</v>
      </c>
      <c r="M33" s="14">
        <f>M30*1000</f>
        <v>5000</v>
      </c>
    </row>
    <row r="34" spans="1:13" ht="16">
      <c r="A34" s="1" t="s">
        <v>417</v>
      </c>
      <c r="B34" s="7" t="s">
        <v>38</v>
      </c>
      <c r="C34" s="8">
        <v>219.98</v>
      </c>
      <c r="D34" s="8" t="s">
        <v>39</v>
      </c>
      <c r="E34" s="8">
        <v>232.98</v>
      </c>
      <c r="F34" s="8">
        <f ca="1">IFERROR(__xludf.DUMMYFUNCTION("INDEX(GOOGLEFINANCE(A34, ""open"", DATE(2025,2,3), DATE(2025,2,3)), 2, 2)"),221.51)</f>
        <v>221.51</v>
      </c>
      <c r="G34" s="8">
        <f ca="1">IFERROR(__xludf.DUMMYFUNCTION("INDEX(GOOGLEFINANCE(A34, ""close"", DATE(2025,2,7), DATE(2025,2,7)), 2, 2)"),226)</f>
        <v>226</v>
      </c>
      <c r="H34" s="9">
        <f t="shared" ca="1" si="4"/>
        <v>-2.0269965238589722</v>
      </c>
      <c r="I34" s="10">
        <f t="shared" ca="1" si="5"/>
        <v>-20.269965238589723</v>
      </c>
      <c r="J34" s="10" t="str">
        <f t="shared" si="6"/>
        <v>Call Spread</v>
      </c>
      <c r="K34" s="10" t="str">
        <f t="shared" ca="1" si="7"/>
        <v>Success</v>
      </c>
      <c r="L34" s="6" t="s">
        <v>9</v>
      </c>
      <c r="M34" s="15">
        <f ca="1">SUM(I30:I34)</f>
        <v>-28.379870452519356</v>
      </c>
    </row>
    <row r="35" spans="1:13" ht="13">
      <c r="L35" s="6" t="s">
        <v>23</v>
      </c>
      <c r="M35" s="16">
        <f ca="1">M34/M33*100</f>
        <v>-0.56759740905038714</v>
      </c>
    </row>
    <row r="37" spans="1:13" ht="13">
      <c r="L37" s="11" t="s">
        <v>26</v>
      </c>
    </row>
    <row r="38" spans="1:13" ht="16">
      <c r="L38" s="6" t="s">
        <v>18</v>
      </c>
      <c r="M38" s="17">
        <f ca="1">COUNTIF(K30:K51,"Success")/M30*100</f>
        <v>100</v>
      </c>
    </row>
  </sheetData>
  <conditionalFormatting sqref="D1 B1:B2 B5:B26 B30:B34">
    <cfRule type="containsText" dxfId="3" priority="3" operator="containsText" text="Bullish">
      <formula>NOT(ISERROR(SEARCH(("Bullish"),(B1))))</formula>
    </cfRule>
    <cfRule type="containsText" dxfId="2" priority="4" operator="containsText" text="Bearish">
      <formula>NOT(ISERROR(SEARCH(("Bearish"),(B1))))</formula>
    </cfRule>
  </conditionalFormatting>
  <conditionalFormatting sqref="D1 B1:B2">
    <cfRule type="containsText" dxfId="1" priority="1" operator="containsText" text="Bullish">
      <formula>NOT(ISERROR(SEARCH(("Bullish"),(B1))))</formula>
    </cfRule>
    <cfRule type="containsText" dxfId="0" priority="2" operator="containsText" text="Bearish">
      <formula>NOT(ISERROR(SEARCH(("Bearish"),(B1))))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01312025 - 02072025</vt:lpstr>
      <vt:lpstr>Selected Stocks 01312025 - 0207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Ruggeri</cp:lastModifiedBy>
  <dcterms:modified xsi:type="dcterms:W3CDTF">2025-02-08T12:58:27Z</dcterms:modified>
</cp:coreProperties>
</file>